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C59F04B-8E3C-45AE-B50A-F1A891FC9B51}" xr6:coauthVersionLast="45" xr6:coauthVersionMax="45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Молодежный дом1" sheetId="1" r:id="rId1"/>
    <sheet name="Молодежный дом 2" sheetId="2" r:id="rId2"/>
    <sheet name="молодежный 2а" sheetId="3" r:id="rId3"/>
    <sheet name="молодежный 3" sheetId="4" r:id="rId4"/>
    <sheet name="молодежный дом 4" sheetId="5" r:id="rId5"/>
    <sheet name="молодежный дом 5" sheetId="6" r:id="rId6"/>
    <sheet name="Молодежный дом6" sheetId="7" r:id="rId7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6" l="1"/>
  <c r="C25" i="6" s="1"/>
  <c r="B24" i="6"/>
  <c r="B50" i="7" l="1"/>
  <c r="B49" i="6"/>
  <c r="B43" i="5"/>
  <c r="B42" i="4"/>
  <c r="B44" i="3"/>
  <c r="B46" i="2"/>
  <c r="B23" i="6" l="1"/>
  <c r="B22" i="6"/>
  <c r="B21" i="6"/>
  <c r="B20" i="6"/>
  <c r="B19" i="6"/>
  <c r="B18" i="6"/>
  <c r="B17" i="6"/>
  <c r="B16" i="6"/>
  <c r="B15" i="6"/>
  <c r="B13" i="6"/>
  <c r="B14" i="6"/>
  <c r="C24" i="6" l="1"/>
  <c r="C14" i="6"/>
  <c r="C15" i="6"/>
  <c r="C16" i="6"/>
  <c r="C17" i="6"/>
  <c r="C18" i="6"/>
  <c r="C19" i="6"/>
  <c r="C20" i="6"/>
  <c r="C21" i="6"/>
  <c r="C22" i="6"/>
  <c r="C23" i="6"/>
  <c r="B24" i="7"/>
  <c r="B23" i="7"/>
  <c r="B22" i="7"/>
  <c r="B21" i="7"/>
  <c r="B20" i="7"/>
  <c r="B19" i="7"/>
  <c r="B18" i="7"/>
  <c r="B17" i="7"/>
  <c r="B15" i="7"/>
  <c r="B13" i="7"/>
  <c r="B16" i="7"/>
  <c r="B14" i="7"/>
  <c r="B19" i="5"/>
  <c r="B15" i="5"/>
  <c r="B13" i="5"/>
  <c r="B23" i="5"/>
  <c r="B22" i="5"/>
  <c r="B21" i="5"/>
  <c r="B20" i="5"/>
  <c r="B18" i="5"/>
  <c r="B17" i="5"/>
  <c r="B16" i="5"/>
  <c r="B14" i="5"/>
  <c r="B13" i="4"/>
  <c r="B22" i="4"/>
  <c r="B19" i="4"/>
  <c r="B16" i="4"/>
  <c r="B15" i="4"/>
  <c r="B23" i="4"/>
  <c r="B21" i="4"/>
  <c r="B20" i="4"/>
  <c r="B18" i="4"/>
  <c r="B17" i="4"/>
  <c r="B14" i="4"/>
  <c r="B21" i="3"/>
  <c r="B22" i="3"/>
  <c r="B18" i="3"/>
  <c r="B13" i="3"/>
  <c r="B20" i="3"/>
  <c r="B19" i="3"/>
  <c r="B17" i="3"/>
  <c r="B16" i="3"/>
  <c r="B15" i="3"/>
  <c r="B14" i="3"/>
  <c r="B25" i="2"/>
  <c r="B24" i="2"/>
  <c r="B23" i="2"/>
  <c r="B20" i="2"/>
  <c r="B16" i="2"/>
  <c r="B14" i="2"/>
  <c r="B22" i="2"/>
  <c r="B21" i="2"/>
  <c r="B19" i="2"/>
  <c r="B18" i="2"/>
  <c r="B17" i="2"/>
  <c r="B15" i="2"/>
  <c r="B25" i="1"/>
  <c r="B24" i="1"/>
  <c r="B23" i="1"/>
  <c r="B14" i="1"/>
  <c r="C18" i="7" l="1"/>
  <c r="C22" i="7"/>
  <c r="C23" i="4"/>
  <c r="C17" i="5"/>
  <c r="C21" i="4"/>
  <c r="C18" i="4"/>
  <c r="C16" i="4"/>
  <c r="C14" i="7"/>
  <c r="C21" i="7"/>
  <c r="C16" i="7"/>
  <c r="C17" i="7"/>
  <c r="C23" i="7"/>
  <c r="C24" i="7"/>
  <c r="C20" i="7"/>
  <c r="C15" i="7"/>
  <c r="C19" i="7"/>
  <c r="C16" i="5"/>
  <c r="C20" i="5"/>
  <c r="C23" i="5"/>
  <c r="C21" i="5"/>
  <c r="C22" i="5"/>
  <c r="C18" i="5"/>
  <c r="C15" i="5"/>
  <c r="C19" i="5"/>
  <c r="C14" i="5"/>
  <c r="C15" i="4"/>
  <c r="C19" i="4"/>
  <c r="C20" i="4"/>
  <c r="C14" i="4"/>
  <c r="C22" i="4"/>
  <c r="C17" i="4"/>
  <c r="C20" i="3"/>
  <c r="C14" i="3"/>
  <c r="C15" i="3"/>
  <c r="C16" i="3"/>
  <c r="C17" i="3"/>
  <c r="C18" i="3"/>
  <c r="C21" i="3"/>
  <c r="C22" i="3"/>
  <c r="C19" i="3"/>
  <c r="C21" i="2"/>
  <c r="C15" i="2"/>
  <c r="C23" i="2"/>
  <c r="C17" i="2"/>
  <c r="C16" i="2"/>
  <c r="C24" i="2"/>
  <c r="C18" i="2"/>
  <c r="C19" i="2"/>
  <c r="C20" i="2"/>
  <c r="C22" i="2"/>
  <c r="C25" i="2"/>
  <c r="C25" i="1" l="1"/>
  <c r="C24" i="1"/>
  <c r="C23" i="1"/>
  <c r="B22" i="1"/>
  <c r="B21" i="1"/>
  <c r="C21" i="1" s="1"/>
  <c r="B20" i="1"/>
  <c r="B19" i="1"/>
  <c r="C19" i="1" s="1"/>
  <c r="B18" i="1"/>
  <c r="B17" i="1"/>
  <c r="C17" i="1" s="1"/>
  <c r="B16" i="1"/>
  <c r="B15" i="1"/>
  <c r="C15" i="1" s="1"/>
  <c r="C22" i="1" l="1"/>
  <c r="C16" i="1"/>
  <c r="C18" i="1" l="1"/>
  <c r="C20" i="1"/>
</calcChain>
</file>

<file path=xl/sharedStrings.xml><?xml version="1.0" encoding="utf-8"?>
<sst xmlns="http://schemas.openxmlformats.org/spreadsheetml/2006/main" count="349" uniqueCount="132">
  <si>
    <t xml:space="preserve">Отчет </t>
  </si>
  <si>
    <t xml:space="preserve">о расходовании денежных средств МКД по адресу: 
</t>
  </si>
  <si>
    <t>с "01" января по "31" декабря 2021 г.</t>
  </si>
  <si>
    <t>Вид услуги</t>
  </si>
  <si>
    <t>начислено</t>
  </si>
  <si>
    <t>оплачено</t>
  </si>
  <si>
    <t>общая площадь дома, м2</t>
  </si>
  <si>
    <t>Вывоз ТКО</t>
  </si>
  <si>
    <t>Содержание общ имущества и управление  МКД, руб., состоит из следующих сумм:</t>
  </si>
  <si>
    <t>Управление МКД, руб.</t>
  </si>
  <si>
    <t>Аварийно-диспетчерская служба</t>
  </si>
  <si>
    <t>Текущий ремонт</t>
  </si>
  <si>
    <t>Итого начислено  за 2021 год, руб.</t>
  </si>
  <si>
    <t>Итого собрано  за 2021 год, руб.</t>
  </si>
  <si>
    <t>Адрес: п. Молодежный д.1</t>
  </si>
  <si>
    <t>Жилой дом п.Молодежный д.1</t>
  </si>
  <si>
    <t>отопление</t>
  </si>
  <si>
    <t xml:space="preserve">Работы , выполняемые в целях надлежащего содержания систем вентиляции и дымоудоления </t>
  </si>
  <si>
    <t>Работы выполняемые в отношении фундаментов, подвалов, стен,колонн, столбов, перекрытий и покрытий, балок, перегородок, крыш,лестниц, фасадов,внутренней отделки домов,содержание оконных и дверных заполнений помещений.</t>
  </si>
  <si>
    <t>Работы, выполняемые в целях содержания отопления и индивидуальных тепловых пунктов в МКД</t>
  </si>
  <si>
    <t>Общие работы, содержания систем водоснабжения(ХВС и ГВС), водоотведения в МКД</t>
  </si>
  <si>
    <t>Работы, по содержанию электрооборудования, радио-и телекоммуникационного оборудования в МКД</t>
  </si>
  <si>
    <t>Работы по содержанию систем внутридомового газового оборудования в МКД</t>
  </si>
  <si>
    <t>Сухая и влажная уборка МКД</t>
  </si>
  <si>
    <t>Проведение дератизации и дезинсекции помещений МКД</t>
  </si>
  <si>
    <t>Работы по содержанию земельного участка, на котором расположен МКД</t>
  </si>
  <si>
    <t>Адрес: п. Молодежный д.2</t>
  </si>
  <si>
    <t>Жилой дом п.Молодежный д.2</t>
  </si>
  <si>
    <t>Адрес: п. Молодежный д.2а</t>
  </si>
  <si>
    <t>Жилой дом п.Молодежный д.2а</t>
  </si>
  <si>
    <t>Адрес: п. Молодежный д.3</t>
  </si>
  <si>
    <t>Жилой дом п.Молодежный д.3</t>
  </si>
  <si>
    <t>Адрес: п. Молодежный д.4</t>
  </si>
  <si>
    <t>Жилой дом п.Молодежный д.4</t>
  </si>
  <si>
    <t>Адрес: п. Молодежный д.5</t>
  </si>
  <si>
    <t>Жилой дом п.Молодежный д.5</t>
  </si>
  <si>
    <t>1. Содержание придомовой территории</t>
  </si>
  <si>
    <t>6. Замена эл.лапм в подъездах, подвалах</t>
  </si>
  <si>
    <t>Итого начислено за 2021год, руб.</t>
  </si>
  <si>
    <t>Адрес: п. Молодежный д.6</t>
  </si>
  <si>
    <t>Жилой дом п.Молодежный д.6</t>
  </si>
  <si>
    <t>Работы выполненные по текущему ремонту</t>
  </si>
  <si>
    <t>2. Уборка подъездов</t>
  </si>
  <si>
    <t>3. Моющие средства для уборки</t>
  </si>
  <si>
    <t>4.  Оплата Электроэнергии МУП</t>
  </si>
  <si>
    <t>5. Замена эл.лапм в подъездах, подвалах</t>
  </si>
  <si>
    <t>6. Обслуживание электрооборудования</t>
  </si>
  <si>
    <t>7. Обслуживание ВГБО (ГАЗ)</t>
  </si>
  <si>
    <t>8. Содержание  чердачных, подвальных помещений, кровли</t>
  </si>
  <si>
    <t>10. Содержание системы отопления</t>
  </si>
  <si>
    <t>9. Содержание системы ХВС , ГВС, водоотведения, снятие показаний ОДПУ</t>
  </si>
  <si>
    <t>1. Очистка снега с кровли крыш с вывозом</t>
  </si>
  <si>
    <t>8. Информационные стенды</t>
  </si>
  <si>
    <t>Итого</t>
  </si>
  <si>
    <t>вывоз ТКО</t>
  </si>
  <si>
    <t>ХВС и водоотведение</t>
  </si>
  <si>
    <t>ГВС</t>
  </si>
  <si>
    <t>ГАЗ</t>
  </si>
  <si>
    <t>4. Оплата Электроэнергии МУП</t>
  </si>
  <si>
    <t>1. Ремонт батареи</t>
  </si>
  <si>
    <t>2. Ремонт трубоотвода</t>
  </si>
  <si>
    <t>Отопление</t>
  </si>
  <si>
    <t>4. Очистка снега с кровли крыш с вывозом</t>
  </si>
  <si>
    <t>6. Содержание  чердачных помещений</t>
  </si>
  <si>
    <t>7. Содержание системы ХВС , ГВС, водоотведения, снятие показаний ОДПУ</t>
  </si>
  <si>
    <t>8. Содержание системы отопления</t>
  </si>
  <si>
    <t>10. Управление МКД</t>
  </si>
  <si>
    <t>1. Ремонт системы канализации</t>
  </si>
  <si>
    <t>5. Оплата Электроэнергии МУП</t>
  </si>
  <si>
    <t>7. Содержание чердачных, подвальных помещений, кровли</t>
  </si>
  <si>
    <t>8. Содержание системы ХВС , ГВС, водоотведения, снятие показаний ОДПУ</t>
  </si>
  <si>
    <t>9. Содержание системы отопления</t>
  </si>
  <si>
    <t>11. Управление МКД</t>
  </si>
  <si>
    <t>1. Ремонт крыши(утепление)</t>
  </si>
  <si>
    <t>2. Ремонт канализационной трубы в подвале</t>
  </si>
  <si>
    <t>Общая Задолженность  по всем ресурсам перед управляющей компанией на 31 декабря 2021года</t>
  </si>
  <si>
    <t>6. Содержание  чердачных,подвальных  помещений</t>
  </si>
  <si>
    <t>9. Управление МКД</t>
  </si>
  <si>
    <t xml:space="preserve">Итого </t>
  </si>
  <si>
    <t>1. Ремонт межпанельных швов</t>
  </si>
  <si>
    <t>итого</t>
  </si>
  <si>
    <t>1. Ремонт швов с подвала в местах промерзания кв24</t>
  </si>
  <si>
    <t>3. Ремонт кровли на чердаке</t>
  </si>
  <si>
    <t>4. Побелка бордюров</t>
  </si>
  <si>
    <t>3. Ремонт стояка кв 95</t>
  </si>
  <si>
    <t>ИТОГО</t>
  </si>
  <si>
    <t>Выполненные работы по содержанию  общего имущества в отчетном периоде</t>
  </si>
  <si>
    <t>Выполненные работы  по содержанию общего имущества в отчетном периоде</t>
  </si>
  <si>
    <t>Выполненные работы  по содержанию  общего имущества в отчетном периоде</t>
  </si>
  <si>
    <t>2. Ремонт куска батареи в подъезде</t>
  </si>
  <si>
    <t>2. Очистка снега придомовой территории спецтехникой с вывозом</t>
  </si>
  <si>
    <t>2. Очитстка снега придомовой территории спецтехникой с вывозом</t>
  </si>
  <si>
    <t>1. Обработка жидкой резиной кровли</t>
  </si>
  <si>
    <t>3. Установка Хомута на тепловом узле D-76</t>
  </si>
  <si>
    <t>5. Насос циркуляционный Д32 (1шт.)</t>
  </si>
  <si>
    <t>6. Информационные стенды</t>
  </si>
  <si>
    <t>7. Замена трубы отопления</t>
  </si>
  <si>
    <t>3. Очистка снега с кровли крыш с вывозом</t>
  </si>
  <si>
    <t>5. Насос Циркуляционный Д32(2шт)</t>
  </si>
  <si>
    <t>3. Ремонт батареи</t>
  </si>
  <si>
    <t xml:space="preserve">5. Услуги автовышки (фасад) ремонт водостоков </t>
  </si>
  <si>
    <t>7. Ремонг системы отопления</t>
  </si>
  <si>
    <t>9. Замена счетчика ГВС фланцевый (1шт)</t>
  </si>
  <si>
    <t>3. Побелка бордюров</t>
  </si>
  <si>
    <t>4. Насос циркуляционный Д32 (2шт.)</t>
  </si>
  <si>
    <t>5. Информационные стенды</t>
  </si>
  <si>
    <t>6. Очистка снега спецтехникой придомовой территории с вывозом</t>
  </si>
  <si>
    <t>4. Ремонг системы отопления в подвале</t>
  </si>
  <si>
    <t>6. Замена счетчика ГВС фланцевый (1шт.)</t>
  </si>
  <si>
    <t>7. Насос Циркуляционный Д32 (2шт.)</t>
  </si>
  <si>
    <t>5. Замена канализационной трубы в подвале</t>
  </si>
  <si>
    <t>6. Ремонт подъезда №1</t>
  </si>
  <si>
    <t>7. Насос Циркуляционный Д32 (2шт.) и установка</t>
  </si>
  <si>
    <t>8. Ремонт подъезда №4</t>
  </si>
  <si>
    <t>9. Замена счетчика ГВС фланцевый (2шт)</t>
  </si>
  <si>
    <t>10. Ремонт панельных швов</t>
  </si>
  <si>
    <t>11. Щетинистое резиновое покрытие</t>
  </si>
  <si>
    <t>5. Ремонт куска канализационной трубы в подвале МОП</t>
  </si>
  <si>
    <t>6. Замена шаровых кранов в подвале МОП</t>
  </si>
  <si>
    <t>7. Информационные стенды</t>
  </si>
  <si>
    <t>8. Насос Циркуляционный (1шт) с установкой</t>
  </si>
  <si>
    <t>9. Ремонт панельных швов</t>
  </si>
  <si>
    <t>10. Замена стояка ГВС 3 подъезд</t>
  </si>
  <si>
    <t>11. Замена трубы отопления в подвале</t>
  </si>
  <si>
    <t>12. Компенсация жителям за ремонт подъезда</t>
  </si>
  <si>
    <t>2. Очистка снега спецтехникой придомовой территории с вывозом</t>
  </si>
  <si>
    <t>4. Обработка шиферного покрытия жидкой резиной на кровле</t>
  </si>
  <si>
    <t>4. Очистка снега спецтехникой придомовой территории с ыввозом</t>
  </si>
  <si>
    <t>текущий ремонт с 01.01.2021 -31.07.2021г.</t>
  </si>
  <si>
    <t>текущий ремонт 01.08.2021-31.12.2021г.</t>
  </si>
  <si>
    <t>Итого затрачено на текущий ремонт</t>
  </si>
  <si>
    <t>Итого задолженность населения за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</si>
</sst>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shrinkToFit="1" readingOrder="1"/>
    </xf>
    <xf numFmtId="4" fontId="4" fillId="0" borderId="1" xfId="1" applyNumberFormat="1" applyFont="1" applyBorder="1" applyAlignment="1">
      <alignment horizontal="right" vertical="center" shrinkToFit="1" readingOrder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shrinkToFit="1" readingOrder="1"/>
    </xf>
    <xf numFmtId="0" fontId="5" fillId="0" borderId="1" xfId="1" applyFont="1" applyBorder="1" applyAlignment="1">
      <alignment horizontal="center" vertical="justify" wrapText="1"/>
    </xf>
    <xf numFmtId="0" fontId="5" fillId="0" borderId="1" xfId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 vertical="center" shrinkToFit="1" readingOrder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0" fillId="0" borderId="1" xfId="0" applyBorder="1"/>
    <xf numFmtId="4" fontId="0" fillId="0" borderId="1" xfId="0" applyNumberFormat="1" applyBorder="1"/>
    <xf numFmtId="4" fontId="4" fillId="0" borderId="1" xfId="1" applyNumberFormat="1" applyFont="1" applyBorder="1" applyAlignment="1">
      <alignment horizontal="center" vertical="center" shrinkToFit="1" readingOrder="1"/>
    </xf>
    <xf numFmtId="4" fontId="4" fillId="0" borderId="1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shrinkToFit="1" readingOrder="1"/>
    </xf>
    <xf numFmtId="0" fontId="5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14" fillId="0" borderId="0" xfId="0" applyNumberFormat="1" applyFont="1"/>
    <xf numFmtId="4" fontId="5" fillId="0" borderId="1" xfId="1" applyNumberFormat="1" applyFont="1" applyBorder="1" applyAlignment="1">
      <alignment horizontal="right" vertical="center" shrinkToFit="1" readingOrder="1"/>
    </xf>
    <xf numFmtId="0" fontId="4" fillId="3" borderId="1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top" wrapText="1"/>
    </xf>
    <xf numFmtId="0" fontId="17" fillId="0" borderId="2" xfId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 vertical="center" shrinkToFit="1" readingOrder="1"/>
    </xf>
    <xf numFmtId="0" fontId="16" fillId="0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shrinkToFit="1" readingOrder="1"/>
    </xf>
    <xf numFmtId="0" fontId="8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5" fontId="5" fillId="0" borderId="2" xfId="1" applyNumberFormat="1" applyFont="1" applyBorder="1" applyAlignment="1">
      <alignment horizontal="center" vertical="center" readingOrder="1"/>
    </xf>
    <xf numFmtId="165" fontId="0" fillId="0" borderId="3" xfId="0" applyNumberFormat="1" applyBorder="1" applyAlignment="1">
      <alignment horizontal="center" vertical="center" readingOrder="1"/>
    </xf>
    <xf numFmtId="165" fontId="5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5" fontId="5" fillId="0" borderId="2" xfId="1" applyNumberFormat="1" applyFont="1" applyBorder="1" applyAlignment="1">
      <alignment horizontal="center" vertical="center" shrinkToFit="1" readingOrder="1"/>
    </xf>
    <xf numFmtId="165" fontId="5" fillId="0" borderId="3" xfId="1" applyNumberFormat="1" applyFont="1" applyBorder="1" applyAlignment="1">
      <alignment horizontal="center" vertical="center" shrinkToFit="1" readingOrder="1"/>
    </xf>
    <xf numFmtId="4" fontId="5" fillId="0" borderId="2" xfId="1" applyNumberFormat="1" applyFont="1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4" fontId="10" fillId="0" borderId="4" xfId="1" applyNumberFormat="1" applyFont="1" applyBorder="1" applyAlignment="1">
      <alignment horizontal="center" vertical="center" readingOrder="1"/>
    </xf>
    <xf numFmtId="0" fontId="19" fillId="0" borderId="3" xfId="0" applyFont="1" applyBorder="1" applyAlignment="1">
      <alignment horizontal="center" vertical="center" readingOrder="1"/>
    </xf>
    <xf numFmtId="4" fontId="5" fillId="0" borderId="2" xfId="1" applyNumberFormat="1" applyFont="1" applyBorder="1" applyAlignment="1">
      <alignment horizontal="center" vertical="center" shrinkToFit="1" readingOrder="1"/>
    </xf>
    <xf numFmtId="4" fontId="5" fillId="0" borderId="3" xfId="1" applyNumberFormat="1" applyFont="1" applyBorder="1" applyAlignment="1">
      <alignment horizontal="center" vertical="center" shrinkToFit="1" readingOrder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 shrinkToFit="1" readingOrder="1"/>
    </xf>
    <xf numFmtId="4" fontId="5" fillId="0" borderId="3" xfId="1" applyNumberFormat="1" applyFont="1" applyBorder="1" applyAlignment="1">
      <alignment horizontal="center" vertical="center" wrapText="1" shrinkToFit="1" readingOrder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shrinkToFit="1" readingOrder="1"/>
    </xf>
    <xf numFmtId="164" fontId="0" fillId="0" borderId="3" xfId="0" applyNumberFormat="1" applyBorder="1" applyAlignment="1">
      <alignment horizontal="center" vertical="center" shrinkToFit="1" readingOrder="1"/>
    </xf>
    <xf numFmtId="165" fontId="4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3" fillId="0" borderId="2" xfId="1" applyNumberFormat="1" applyFont="1" applyFill="1" applyBorder="1" applyAlignment="1">
      <alignment horizontal="center" wrapText="1"/>
    </xf>
    <xf numFmtId="165" fontId="13" fillId="0" borderId="3" xfId="1" applyNumberFormat="1" applyFont="1" applyFill="1" applyBorder="1" applyAlignment="1">
      <alignment horizontal="center" wrapText="1"/>
    </xf>
    <xf numFmtId="165" fontId="5" fillId="0" borderId="2" xfId="1" applyNumberFormat="1" applyFont="1" applyBorder="1" applyAlignment="1">
      <alignment horizontal="center" shrinkToFit="1" readingOrder="1"/>
    </xf>
    <xf numFmtId="165" fontId="5" fillId="0" borderId="3" xfId="1" applyNumberFormat="1" applyFont="1" applyBorder="1" applyAlignment="1">
      <alignment horizontal="center" shrinkToFit="1" readingOrder="1"/>
    </xf>
    <xf numFmtId="165" fontId="5" fillId="0" borderId="2" xfId="1" applyNumberFormat="1" applyFont="1" applyBorder="1" applyAlignment="1">
      <alignment horizontal="center" wrapText="1" shrinkToFit="1" readingOrder="1"/>
    </xf>
    <xf numFmtId="165" fontId="5" fillId="0" borderId="3" xfId="1" applyNumberFormat="1" applyFont="1" applyBorder="1" applyAlignment="1">
      <alignment horizontal="center" wrapText="1" shrinkToFit="1" readingOrder="1"/>
    </xf>
    <xf numFmtId="165" fontId="12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 vertical="center" shrinkToFit="1" readingOrder="1"/>
    </xf>
    <xf numFmtId="165" fontId="12" fillId="0" borderId="2" xfId="0" applyNumberFormat="1" applyFont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4" fontId="19" fillId="3" borderId="3" xfId="0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 shrinkToFit="1" readingOrder="1"/>
    </xf>
    <xf numFmtId="4" fontId="5" fillId="0" borderId="3" xfId="1" applyNumberFormat="1" applyFont="1" applyFill="1" applyBorder="1" applyAlignment="1">
      <alignment horizontal="center" shrinkToFit="1" readingOrder="1"/>
    </xf>
    <xf numFmtId="165" fontId="5" fillId="0" borderId="2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 shrinkToFit="1" readingOrder="1"/>
    </xf>
    <xf numFmtId="165" fontId="5" fillId="0" borderId="3" xfId="1" applyNumberFormat="1" applyFont="1" applyFill="1" applyBorder="1" applyAlignment="1">
      <alignment horizontal="center" shrinkToFit="1" readingOrder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/>
    </xf>
    <xf numFmtId="165" fontId="22" fillId="0" borderId="3" xfId="0" applyNumberFormat="1" applyFont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4" fontId="5" fillId="0" borderId="1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 wrapText="1" shrinkToFit="1" readingOrder="1"/>
    </xf>
    <xf numFmtId="165" fontId="5" fillId="0" borderId="3" xfId="1" applyNumberFormat="1" applyFont="1" applyFill="1" applyBorder="1" applyAlignment="1">
      <alignment horizontal="center" wrapText="1" shrinkToFit="1" readingOrder="1"/>
    </xf>
    <xf numFmtId="4" fontId="5" fillId="0" borderId="2" xfId="1" applyNumberFormat="1" applyFont="1" applyBorder="1" applyAlignment="1">
      <alignment horizontal="center" shrinkToFit="1" readingOrder="1"/>
    </xf>
    <xf numFmtId="4" fontId="5" fillId="0" borderId="3" xfId="1" applyNumberFormat="1" applyFont="1" applyBorder="1" applyAlignment="1">
      <alignment horizontal="center" shrinkToFit="1" readingOrder="1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 wrapText="1"/>
    </xf>
    <xf numFmtId="4" fontId="5" fillId="0" borderId="3" xfId="1" applyNumberFormat="1" applyFont="1" applyFill="1" applyBorder="1" applyAlignment="1">
      <alignment horizontal="center" wrapText="1"/>
    </xf>
    <xf numFmtId="4" fontId="5" fillId="0" borderId="2" xfId="1" applyNumberFormat="1" applyFont="1" applyBorder="1" applyAlignment="1">
      <alignment horizontal="center" wrapText="1" shrinkToFit="1" readingOrder="1"/>
    </xf>
    <xf numFmtId="4" fontId="5" fillId="0" borderId="3" xfId="1" applyNumberFormat="1" applyFont="1" applyBorder="1" applyAlignment="1">
      <alignment horizontal="center" wrapText="1" shrinkToFit="1" readingOrder="1"/>
    </xf>
    <xf numFmtId="0" fontId="5" fillId="0" borderId="1" xfId="1" applyNumberFormat="1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 wrapText="1" shrinkToFit="1" readingOrder="1"/>
    </xf>
    <xf numFmtId="4" fontId="5" fillId="0" borderId="3" xfId="1" applyNumberFormat="1" applyFont="1" applyFill="1" applyBorder="1" applyAlignment="1">
      <alignment horizontal="center" wrapText="1" shrinkToFit="1" readingOrder="1"/>
    </xf>
    <xf numFmtId="165" fontId="4" fillId="0" borderId="2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19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wrapText="1"/>
    </xf>
    <xf numFmtId="165" fontId="5" fillId="0" borderId="3" xfId="1" applyNumberFormat="1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shrinkToFit="1" readingOrder="1"/>
    </xf>
    <xf numFmtId="0" fontId="16" fillId="3" borderId="1" xfId="0" applyFont="1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opLeftCell="A37" workbookViewId="0">
      <selection activeCell="A46" sqref="A46"/>
    </sheetView>
  </sheetViews>
  <sheetFormatPr defaultRowHeight="15" x14ac:dyDescent="0.25"/>
  <cols>
    <col min="1" max="1" width="40.5703125" style="12" customWidth="1"/>
    <col min="2" max="2" width="18.7109375" style="12" customWidth="1"/>
    <col min="3" max="3" width="27" style="12" customWidth="1"/>
  </cols>
  <sheetData>
    <row r="1" spans="1:3" ht="23.25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14</v>
      </c>
      <c r="B4" s="63"/>
      <c r="C4" s="63"/>
    </row>
    <row r="5" spans="1:3" x14ac:dyDescent="0.25">
      <c r="A5" s="64" t="s">
        <v>3</v>
      </c>
      <c r="B5" s="64" t="s">
        <v>15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15.75" x14ac:dyDescent="0.25">
      <c r="A8" s="2" t="s">
        <v>6</v>
      </c>
      <c r="B8" s="42">
        <v>1988.8</v>
      </c>
      <c r="C8" s="42"/>
    </row>
    <row r="9" spans="1:3" ht="15.75" x14ac:dyDescent="0.25">
      <c r="A9" s="2" t="s">
        <v>55</v>
      </c>
      <c r="B9" s="3">
        <v>130247</v>
      </c>
      <c r="C9" s="3">
        <v>124762</v>
      </c>
    </row>
    <row r="10" spans="1:3" ht="15.75" x14ac:dyDescent="0.25">
      <c r="A10" s="2" t="s">
        <v>56</v>
      </c>
      <c r="B10" s="3">
        <v>128645</v>
      </c>
      <c r="C10" s="3">
        <v>127161</v>
      </c>
    </row>
    <row r="11" spans="1:3" ht="15.75" x14ac:dyDescent="0.25">
      <c r="A11" s="2" t="s">
        <v>16</v>
      </c>
      <c r="B11" s="3">
        <v>317265</v>
      </c>
      <c r="C11" s="3">
        <v>294765</v>
      </c>
    </row>
    <row r="12" spans="1:3" ht="15.75" x14ac:dyDescent="0.25">
      <c r="A12" s="2" t="s">
        <v>57</v>
      </c>
      <c r="B12" s="3">
        <v>86222</v>
      </c>
      <c r="C12" s="3">
        <v>79965</v>
      </c>
    </row>
    <row r="13" spans="1:3" ht="15.75" x14ac:dyDescent="0.25">
      <c r="A13" s="2" t="s">
        <v>54</v>
      </c>
      <c r="B13" s="14">
        <v>66262</v>
      </c>
      <c r="C13" s="15">
        <v>63365</v>
      </c>
    </row>
    <row r="14" spans="1:3" ht="47.25" x14ac:dyDescent="0.25">
      <c r="A14" s="2" t="s">
        <v>8</v>
      </c>
      <c r="B14" s="4">
        <f>21.77*B8*12</f>
        <v>519554.11199999996</v>
      </c>
      <c r="C14" s="14">
        <v>486672</v>
      </c>
    </row>
    <row r="15" spans="1:3" ht="15.75" x14ac:dyDescent="0.25">
      <c r="A15" s="5" t="s">
        <v>9</v>
      </c>
      <c r="B15" s="6">
        <f>5.99*B8*12</f>
        <v>142954.94400000002</v>
      </c>
      <c r="C15" s="23">
        <f>B15*C14/B14</f>
        <v>133907.45429490128</v>
      </c>
    </row>
    <row r="16" spans="1:3" ht="15.75" x14ac:dyDescent="0.25">
      <c r="A16" s="7" t="s">
        <v>23</v>
      </c>
      <c r="B16" s="6">
        <f>2.58*B8*12</f>
        <v>61573.248000000007</v>
      </c>
      <c r="C16" s="23">
        <f>B16*C14/B14</f>
        <v>57676.332567753794</v>
      </c>
    </row>
    <row r="17" spans="1:3" ht="47.25" x14ac:dyDescent="0.25">
      <c r="A17" s="8" t="s">
        <v>17</v>
      </c>
      <c r="B17" s="6">
        <f>0.33*B8*12</f>
        <v>7875.6479999999992</v>
      </c>
      <c r="C17" s="23">
        <f>B17*C14/B14</f>
        <v>7377.2053284336243</v>
      </c>
    </row>
    <row r="18" spans="1:3" ht="110.25" x14ac:dyDescent="0.25">
      <c r="A18" s="8" t="s">
        <v>18</v>
      </c>
      <c r="B18" s="6">
        <f>1.58*B8*12</f>
        <v>37707.648000000001</v>
      </c>
      <c r="C18" s="23">
        <f>B18*C14/B14</f>
        <v>35321.164905833721</v>
      </c>
    </row>
    <row r="19" spans="1:3" ht="63" x14ac:dyDescent="0.25">
      <c r="A19" s="8" t="s">
        <v>19</v>
      </c>
      <c r="B19" s="6">
        <f>1.91*B8*12</f>
        <v>45583.295999999995</v>
      </c>
      <c r="C19" s="23">
        <f>B19*C14/B14</f>
        <v>42698.370234267342</v>
      </c>
    </row>
    <row r="20" spans="1:3" ht="47.25" x14ac:dyDescent="0.25">
      <c r="A20" s="8" t="s">
        <v>20</v>
      </c>
      <c r="B20" s="6">
        <f>2.37*B8*12</f>
        <v>56561.472000000002</v>
      </c>
      <c r="C20" s="23">
        <f>B20*C14/B14</f>
        <v>52981.747358750581</v>
      </c>
    </row>
    <row r="21" spans="1:3" ht="37.5" customHeight="1" x14ac:dyDescent="0.25">
      <c r="A21" s="8" t="s">
        <v>21</v>
      </c>
      <c r="B21" s="6">
        <f>1.67*B8*12</f>
        <v>39855.551999999996</v>
      </c>
      <c r="C21" s="23">
        <f>B21*C14/B14</f>
        <v>37333.129995406518</v>
      </c>
    </row>
    <row r="22" spans="1:3" ht="58.5" customHeight="1" x14ac:dyDescent="0.25">
      <c r="A22" s="8" t="s">
        <v>22</v>
      </c>
      <c r="B22" s="6">
        <f>1.58*B8*12</f>
        <v>37707.648000000001</v>
      </c>
      <c r="C22" s="23">
        <f>B22*C14/B14</f>
        <v>35321.164905833721</v>
      </c>
    </row>
    <row r="23" spans="1:3" ht="58.5" customHeight="1" x14ac:dyDescent="0.25">
      <c r="A23" s="8" t="s">
        <v>24</v>
      </c>
      <c r="B23" s="6">
        <f>0.15*B8*12</f>
        <v>3579.84</v>
      </c>
      <c r="C23" s="23">
        <f>B23*C14/B14</f>
        <v>3353.2751492880111</v>
      </c>
    </row>
    <row r="24" spans="1:3" ht="58.5" customHeight="1" x14ac:dyDescent="0.25">
      <c r="A24" s="8" t="s">
        <v>25</v>
      </c>
      <c r="B24" s="6">
        <f>2.88*B8*12</f>
        <v>68732.928</v>
      </c>
      <c r="C24" s="23">
        <f>B24*C14/B14</f>
        <v>64382.882866329819</v>
      </c>
    </row>
    <row r="25" spans="1:3" ht="58.5" customHeight="1" x14ac:dyDescent="0.25">
      <c r="A25" s="8" t="s">
        <v>10</v>
      </c>
      <c r="B25" s="6">
        <f>0.73*B8*12</f>
        <v>17421.887999999999</v>
      </c>
      <c r="C25" s="23">
        <f>B25*C14/B14</f>
        <v>16319.272393201652</v>
      </c>
    </row>
    <row r="26" spans="1:3" ht="45.75" customHeight="1" x14ac:dyDescent="0.25">
      <c r="A26" s="43" t="s">
        <v>87</v>
      </c>
      <c r="B26" s="44"/>
      <c r="C26" s="45"/>
    </row>
    <row r="27" spans="1:3" ht="31.5" x14ac:dyDescent="0.25">
      <c r="A27" s="10" t="s">
        <v>36</v>
      </c>
      <c r="B27" s="59">
        <v>65300</v>
      </c>
      <c r="C27" s="60"/>
    </row>
    <row r="28" spans="1:3" ht="15.75" x14ac:dyDescent="0.25">
      <c r="A28" s="10" t="s">
        <v>42</v>
      </c>
      <c r="B28" s="59">
        <v>42857</v>
      </c>
      <c r="C28" s="60"/>
    </row>
    <row r="29" spans="1:3" ht="15.75" x14ac:dyDescent="0.25">
      <c r="A29" s="10" t="s">
        <v>43</v>
      </c>
      <c r="B29" s="67">
        <v>2400</v>
      </c>
      <c r="C29" s="68"/>
    </row>
    <row r="30" spans="1:3" ht="15.75" x14ac:dyDescent="0.25">
      <c r="A30" s="10" t="s">
        <v>44</v>
      </c>
      <c r="B30" s="59">
        <v>14454.78</v>
      </c>
      <c r="C30" s="60"/>
    </row>
    <row r="31" spans="1:3" ht="31.5" x14ac:dyDescent="0.25">
      <c r="A31" s="10" t="s">
        <v>45</v>
      </c>
      <c r="B31" s="59">
        <v>1500</v>
      </c>
      <c r="C31" s="60"/>
    </row>
    <row r="32" spans="1:3" ht="31.5" x14ac:dyDescent="0.25">
      <c r="A32" s="10" t="s">
        <v>46</v>
      </c>
      <c r="B32" s="59">
        <v>24000</v>
      </c>
      <c r="C32" s="60"/>
    </row>
    <row r="33" spans="1:3" ht="15.75" x14ac:dyDescent="0.25">
      <c r="A33" s="10" t="s">
        <v>47</v>
      </c>
      <c r="B33" s="59">
        <v>84056</v>
      </c>
      <c r="C33" s="60"/>
    </row>
    <row r="34" spans="1:3" ht="31.5" x14ac:dyDescent="0.25">
      <c r="A34" s="10" t="s">
        <v>48</v>
      </c>
      <c r="B34" s="55">
        <v>31083</v>
      </c>
      <c r="C34" s="56"/>
    </row>
    <row r="35" spans="1:3" ht="47.25" x14ac:dyDescent="0.25">
      <c r="A35" s="10" t="s">
        <v>50</v>
      </c>
      <c r="B35" s="55">
        <v>42323</v>
      </c>
      <c r="C35" s="56"/>
    </row>
    <row r="36" spans="1:3" ht="26.25" customHeight="1" x14ac:dyDescent="0.25">
      <c r="A36" s="10" t="s">
        <v>49</v>
      </c>
      <c r="B36" s="55">
        <v>25630</v>
      </c>
      <c r="C36" s="56"/>
    </row>
    <row r="37" spans="1:3" ht="26.25" customHeight="1" x14ac:dyDescent="0.25">
      <c r="A37" s="10" t="s">
        <v>72</v>
      </c>
      <c r="B37" s="55">
        <v>142954.94400000002</v>
      </c>
      <c r="C37" s="56"/>
    </row>
    <row r="38" spans="1:3" ht="26.25" customHeight="1" x14ac:dyDescent="0.25">
      <c r="A38" s="38" t="s">
        <v>53</v>
      </c>
      <c r="B38" s="57">
        <v>476558.72</v>
      </c>
      <c r="C38" s="58"/>
    </row>
    <row r="39" spans="1:3" ht="31.5" customHeight="1" x14ac:dyDescent="0.35">
      <c r="A39" s="50" t="s">
        <v>41</v>
      </c>
      <c r="B39" s="51"/>
      <c r="C39" s="52"/>
    </row>
    <row r="40" spans="1:3" ht="31.5" customHeight="1" x14ac:dyDescent="0.25">
      <c r="A40" s="10" t="s">
        <v>51</v>
      </c>
      <c r="B40" s="53">
        <v>35000</v>
      </c>
      <c r="C40" s="54"/>
    </row>
    <row r="41" spans="1:3" ht="31.5" customHeight="1" x14ac:dyDescent="0.25">
      <c r="A41" s="10" t="s">
        <v>125</v>
      </c>
      <c r="B41" s="72">
        <v>9800</v>
      </c>
      <c r="C41" s="73"/>
    </row>
    <row r="42" spans="1:3" ht="31.5" customHeight="1" x14ac:dyDescent="0.25">
      <c r="A42" s="10" t="s">
        <v>93</v>
      </c>
      <c r="B42" s="46">
        <v>1100</v>
      </c>
      <c r="C42" s="47"/>
    </row>
    <row r="43" spans="1:3" ht="31.5" customHeight="1" x14ac:dyDescent="0.25">
      <c r="A43" s="10" t="s">
        <v>126</v>
      </c>
      <c r="B43" s="46">
        <v>1000</v>
      </c>
      <c r="C43" s="47"/>
    </row>
    <row r="44" spans="1:3" ht="31.5" customHeight="1" x14ac:dyDescent="0.25">
      <c r="A44" s="10" t="s">
        <v>94</v>
      </c>
      <c r="B44" s="48">
        <v>8000</v>
      </c>
      <c r="C44" s="49"/>
    </row>
    <row r="45" spans="1:3" ht="31.5" customHeight="1" x14ac:dyDescent="0.25">
      <c r="A45" s="10" t="s">
        <v>95</v>
      </c>
      <c r="B45" s="48">
        <v>4500</v>
      </c>
      <c r="C45" s="49"/>
    </row>
    <row r="46" spans="1:3" ht="31.5" customHeight="1" x14ac:dyDescent="0.25">
      <c r="A46" s="10" t="s">
        <v>96</v>
      </c>
      <c r="B46" s="48">
        <v>2261</v>
      </c>
      <c r="C46" s="49"/>
    </row>
    <row r="47" spans="1:3" ht="31.5" customHeight="1" x14ac:dyDescent="0.25">
      <c r="A47" s="10" t="s">
        <v>53</v>
      </c>
      <c r="B47" s="74">
        <v>61661</v>
      </c>
      <c r="C47" s="75"/>
    </row>
    <row r="48" spans="1:3" ht="31.5" customHeight="1" x14ac:dyDescent="0.25">
      <c r="A48" s="27" t="s">
        <v>12</v>
      </c>
      <c r="B48" s="69">
        <v>1258810.43</v>
      </c>
      <c r="C48" s="70"/>
    </row>
    <row r="49" spans="1:3" ht="31.5" customHeight="1" x14ac:dyDescent="0.25">
      <c r="A49" s="27" t="s">
        <v>13</v>
      </c>
      <c r="B49" s="71">
        <v>1184672.71</v>
      </c>
      <c r="C49" s="71"/>
    </row>
    <row r="50" spans="1:3" ht="86.25" customHeight="1" x14ac:dyDescent="0.25">
      <c r="A50" s="29" t="s">
        <v>75</v>
      </c>
      <c r="B50" s="65">
        <v>388970.88</v>
      </c>
      <c r="C50" s="66"/>
    </row>
    <row r="51" spans="1:3" ht="31.5" customHeight="1" x14ac:dyDescent="0.25"/>
    <row r="52" spans="1:3" ht="41.25" customHeight="1" x14ac:dyDescent="0.25">
      <c r="B52" s="13"/>
    </row>
    <row r="53" spans="1:3" ht="41.25" customHeight="1" x14ac:dyDescent="0.25"/>
    <row r="54" spans="1:3" ht="41.25" customHeight="1" x14ac:dyDescent="0.25"/>
  </sheetData>
  <mergeCells count="32">
    <mergeCell ref="B50:C50"/>
    <mergeCell ref="B28:C28"/>
    <mergeCell ref="B29:C29"/>
    <mergeCell ref="B30:C30"/>
    <mergeCell ref="B31:C31"/>
    <mergeCell ref="B32:C32"/>
    <mergeCell ref="B33:C33"/>
    <mergeCell ref="B48:C48"/>
    <mergeCell ref="B49:C49"/>
    <mergeCell ref="B34:C34"/>
    <mergeCell ref="B35:C35"/>
    <mergeCell ref="B36:C36"/>
    <mergeCell ref="B41:C41"/>
    <mergeCell ref="B46:C46"/>
    <mergeCell ref="B47:C47"/>
    <mergeCell ref="A1:C1"/>
    <mergeCell ref="A2:C2"/>
    <mergeCell ref="A3:C3"/>
    <mergeCell ref="A4:C4"/>
    <mergeCell ref="A5:A7"/>
    <mergeCell ref="B5:C6"/>
    <mergeCell ref="B8:C8"/>
    <mergeCell ref="A26:C26"/>
    <mergeCell ref="B43:C43"/>
    <mergeCell ref="B44:C44"/>
    <mergeCell ref="B45:C45"/>
    <mergeCell ref="A39:C39"/>
    <mergeCell ref="B40:C40"/>
    <mergeCell ref="B37:C37"/>
    <mergeCell ref="B38:C38"/>
    <mergeCell ref="B27:C27"/>
    <mergeCell ref="B42:C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927F-BD22-40E9-A76A-2C5788CBC968}">
  <dimension ref="A1:C49"/>
  <sheetViews>
    <sheetView topLeftCell="A34" workbookViewId="0">
      <selection activeCell="A46" sqref="A46"/>
    </sheetView>
  </sheetViews>
  <sheetFormatPr defaultRowHeight="15" x14ac:dyDescent="0.25"/>
  <cols>
    <col min="1" max="1" width="35.7109375" customWidth="1"/>
    <col min="2" max="2" width="27.28515625" customWidth="1"/>
    <col min="3" max="3" width="21.7109375" customWidth="1"/>
  </cols>
  <sheetData>
    <row r="1" spans="1:3" ht="23.25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26</v>
      </c>
      <c r="B4" s="63"/>
      <c r="C4" s="63"/>
    </row>
    <row r="5" spans="1:3" x14ac:dyDescent="0.25">
      <c r="A5" s="64" t="s">
        <v>3</v>
      </c>
      <c r="B5" s="64" t="s">
        <v>27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31.5" customHeight="1" x14ac:dyDescent="0.25">
      <c r="A8" s="2" t="s">
        <v>6</v>
      </c>
      <c r="B8" s="42">
        <v>1973.8</v>
      </c>
      <c r="C8" s="42"/>
    </row>
    <row r="9" spans="1:3" ht="29.25" customHeight="1" x14ac:dyDescent="0.25">
      <c r="A9" s="2" t="s">
        <v>55</v>
      </c>
      <c r="B9" s="3">
        <v>155587</v>
      </c>
      <c r="C9" s="3">
        <v>129432</v>
      </c>
    </row>
    <row r="10" spans="1:3" ht="15.75" x14ac:dyDescent="0.25">
      <c r="A10" s="2" t="s">
        <v>56</v>
      </c>
      <c r="B10" s="3">
        <v>144275</v>
      </c>
      <c r="C10" s="3">
        <v>117501</v>
      </c>
    </row>
    <row r="11" spans="1:3" ht="15.75" x14ac:dyDescent="0.25">
      <c r="A11" s="2" t="s">
        <v>61</v>
      </c>
      <c r="B11" s="3">
        <v>334930</v>
      </c>
      <c r="C11" s="3">
        <v>309324</v>
      </c>
    </row>
    <row r="12" spans="1:3" ht="15.75" x14ac:dyDescent="0.25">
      <c r="A12" s="2" t="s">
        <v>57</v>
      </c>
      <c r="B12" s="3">
        <v>99485</v>
      </c>
      <c r="C12" s="3">
        <v>80573</v>
      </c>
    </row>
    <row r="13" spans="1:3" ht="23.25" customHeight="1" x14ac:dyDescent="0.25">
      <c r="A13" s="2" t="s">
        <v>7</v>
      </c>
      <c r="B13" s="14">
        <v>66026</v>
      </c>
      <c r="C13" s="15">
        <v>59496</v>
      </c>
    </row>
    <row r="14" spans="1:3" ht="72.75" customHeight="1" x14ac:dyDescent="0.25">
      <c r="A14" s="2" t="s">
        <v>8</v>
      </c>
      <c r="B14" s="9">
        <f>21.17*B8*12</f>
        <v>501424.15200000006</v>
      </c>
      <c r="C14" s="14">
        <v>517690.57</v>
      </c>
    </row>
    <row r="15" spans="1:3" ht="36.75" customHeight="1" x14ac:dyDescent="0.25">
      <c r="A15" s="5" t="s">
        <v>9</v>
      </c>
      <c r="B15" s="23">
        <f>5.99*B8*12</f>
        <v>141876.74400000001</v>
      </c>
      <c r="C15" s="23">
        <f>B15*C14/B14</f>
        <v>146479.28740198392</v>
      </c>
    </row>
    <row r="16" spans="1:3" ht="35.25" customHeight="1" x14ac:dyDescent="0.25">
      <c r="A16" s="7" t="s">
        <v>23</v>
      </c>
      <c r="B16" s="23">
        <f>2.33*B8*12</f>
        <v>55187.447999999997</v>
      </c>
      <c r="C16" s="23">
        <f>B16*C14/B14</f>
        <v>56977.752862541325</v>
      </c>
    </row>
    <row r="17" spans="1:3" ht="51" customHeight="1" x14ac:dyDescent="0.25">
      <c r="A17" s="8" t="s">
        <v>17</v>
      </c>
      <c r="B17" s="23">
        <f>0.33*B8*12</f>
        <v>7816.2480000000005</v>
      </c>
      <c r="C17" s="23">
        <f>B17*C14/B14</f>
        <v>8069.8104912612189</v>
      </c>
    </row>
    <row r="18" spans="1:3" ht="124.5" customHeight="1" x14ac:dyDescent="0.25">
      <c r="A18" s="8" t="s">
        <v>18</v>
      </c>
      <c r="B18" s="23">
        <f>1.58*B8*12</f>
        <v>37423.248000000007</v>
      </c>
      <c r="C18" s="23">
        <f>B18*C14/B14</f>
        <v>38637.274473311292</v>
      </c>
    </row>
    <row r="19" spans="1:3" ht="69" customHeight="1" x14ac:dyDescent="0.25">
      <c r="A19" s="8" t="s">
        <v>19</v>
      </c>
      <c r="B19" s="23">
        <f>1.91*B8*12</f>
        <v>45239.495999999999</v>
      </c>
      <c r="C19" s="23">
        <f>B19*C14/B14</f>
        <v>46707.084964572503</v>
      </c>
    </row>
    <row r="20" spans="1:3" ht="57" customHeight="1" x14ac:dyDescent="0.25">
      <c r="A20" s="8" t="s">
        <v>20</v>
      </c>
      <c r="B20" s="23">
        <f>2.07*B8*12</f>
        <v>49029.191999999995</v>
      </c>
      <c r="C20" s="23">
        <f>B20*C14/B14</f>
        <v>50619.720354274905</v>
      </c>
    </row>
    <row r="21" spans="1:3" ht="62.25" customHeight="1" x14ac:dyDescent="0.25">
      <c r="A21" s="8" t="s">
        <v>21</v>
      </c>
      <c r="B21" s="23">
        <f>1.67*B8*12</f>
        <v>39554.951999999997</v>
      </c>
      <c r="C21" s="23">
        <f>B21*C14/B14</f>
        <v>40838.131880018889</v>
      </c>
    </row>
    <row r="22" spans="1:3" ht="57" customHeight="1" x14ac:dyDescent="0.25">
      <c r="A22" s="8" t="s">
        <v>22</v>
      </c>
      <c r="B22" s="23">
        <f>1.58*B8*12</f>
        <v>37423.248000000007</v>
      </c>
      <c r="C22" s="23">
        <f>B22*C14/B14</f>
        <v>38637.274473311292</v>
      </c>
    </row>
    <row r="23" spans="1:3" ht="37.5" customHeight="1" x14ac:dyDescent="0.25">
      <c r="A23" s="8" t="s">
        <v>24</v>
      </c>
      <c r="B23" s="23">
        <f>0.12*B8*12</f>
        <v>2842.2719999999999</v>
      </c>
      <c r="C23" s="23">
        <f>B23*C14/B14</f>
        <v>2934.4765422768064</v>
      </c>
    </row>
    <row r="24" spans="1:3" ht="50.25" customHeight="1" x14ac:dyDescent="0.25">
      <c r="A24" s="8" t="s">
        <v>25</v>
      </c>
      <c r="B24" s="23">
        <f>2.83*B8*12</f>
        <v>67030.248000000007</v>
      </c>
      <c r="C24" s="23">
        <f>B24*C14/B14</f>
        <v>69204.738455361367</v>
      </c>
    </row>
    <row r="25" spans="1:3" ht="42.75" customHeight="1" x14ac:dyDescent="0.25">
      <c r="A25" s="8" t="s">
        <v>10</v>
      </c>
      <c r="B25" s="23">
        <f>0.76*B8*12</f>
        <v>18001.056</v>
      </c>
      <c r="C25" s="23">
        <f>B25*C14/B14</f>
        <v>18585.018101086443</v>
      </c>
    </row>
    <row r="26" spans="1:3" ht="46.5" customHeight="1" x14ac:dyDescent="0.25">
      <c r="A26" s="43" t="s">
        <v>86</v>
      </c>
      <c r="B26" s="44"/>
      <c r="C26" s="45"/>
    </row>
    <row r="27" spans="1:3" ht="31.5" x14ac:dyDescent="0.25">
      <c r="A27" s="10" t="s">
        <v>36</v>
      </c>
      <c r="B27" s="78">
        <v>66800</v>
      </c>
      <c r="C27" s="79"/>
    </row>
    <row r="28" spans="1:3" ht="15.75" x14ac:dyDescent="0.25">
      <c r="A28" s="10" t="s">
        <v>42</v>
      </c>
      <c r="B28" s="78">
        <v>42857</v>
      </c>
      <c r="C28" s="79"/>
    </row>
    <row r="29" spans="1:3" ht="15.75" x14ac:dyDescent="0.25">
      <c r="A29" s="10" t="s">
        <v>43</v>
      </c>
      <c r="B29" s="80">
        <v>2352</v>
      </c>
      <c r="C29" s="81"/>
    </row>
    <row r="30" spans="1:3" ht="15.75" x14ac:dyDescent="0.25">
      <c r="A30" s="10" t="s">
        <v>58</v>
      </c>
      <c r="B30" s="78">
        <v>14424.48</v>
      </c>
      <c r="C30" s="79"/>
    </row>
    <row r="31" spans="1:3" ht="31.5" x14ac:dyDescent="0.25">
      <c r="A31" s="10" t="s">
        <v>45</v>
      </c>
      <c r="B31" s="78">
        <v>1200</v>
      </c>
      <c r="C31" s="79"/>
    </row>
    <row r="32" spans="1:3" ht="31.5" x14ac:dyDescent="0.25">
      <c r="A32" s="10" t="s">
        <v>46</v>
      </c>
      <c r="B32" s="78">
        <v>24000</v>
      </c>
      <c r="C32" s="79"/>
    </row>
    <row r="33" spans="1:3" ht="15.75" x14ac:dyDescent="0.25">
      <c r="A33" s="10" t="s">
        <v>47</v>
      </c>
      <c r="B33" s="78">
        <v>84056</v>
      </c>
      <c r="C33" s="79"/>
    </row>
    <row r="34" spans="1:3" ht="31.5" x14ac:dyDescent="0.25">
      <c r="A34" s="10" t="s">
        <v>48</v>
      </c>
      <c r="B34" s="76">
        <v>31100</v>
      </c>
      <c r="C34" s="77"/>
    </row>
    <row r="35" spans="1:3" ht="47.25" x14ac:dyDescent="0.25">
      <c r="A35" s="10" t="s">
        <v>50</v>
      </c>
      <c r="B35" s="76">
        <v>42532</v>
      </c>
      <c r="C35" s="77"/>
    </row>
    <row r="36" spans="1:3" ht="31.5" x14ac:dyDescent="0.25">
      <c r="A36" s="10" t="s">
        <v>49</v>
      </c>
      <c r="B36" s="76">
        <v>26100</v>
      </c>
      <c r="C36" s="77"/>
    </row>
    <row r="37" spans="1:3" ht="18.75" x14ac:dyDescent="0.3">
      <c r="A37" s="10" t="s">
        <v>72</v>
      </c>
      <c r="B37" s="82">
        <v>141876.74400000001</v>
      </c>
      <c r="C37" s="83"/>
    </row>
    <row r="38" spans="1:3" ht="51" customHeight="1" x14ac:dyDescent="0.3">
      <c r="A38" s="30" t="s">
        <v>53</v>
      </c>
      <c r="B38" s="88">
        <v>477298.22</v>
      </c>
      <c r="C38" s="89"/>
    </row>
    <row r="39" spans="1:3" ht="51" customHeight="1" x14ac:dyDescent="0.35">
      <c r="A39" s="50" t="s">
        <v>41</v>
      </c>
      <c r="B39" s="51"/>
      <c r="C39" s="52"/>
    </row>
    <row r="40" spans="1:3" ht="38.25" customHeight="1" x14ac:dyDescent="0.25">
      <c r="A40" s="10" t="s">
        <v>59</v>
      </c>
      <c r="B40" s="53">
        <v>1904.4</v>
      </c>
      <c r="C40" s="90"/>
    </row>
    <row r="41" spans="1:3" ht="36" customHeight="1" x14ac:dyDescent="0.25">
      <c r="A41" s="10" t="s">
        <v>60</v>
      </c>
      <c r="B41" s="53">
        <v>1792</v>
      </c>
      <c r="C41" s="90"/>
    </row>
    <row r="42" spans="1:3" ht="27.75" customHeight="1" x14ac:dyDescent="0.25">
      <c r="A42" s="10" t="s">
        <v>97</v>
      </c>
      <c r="B42" s="53">
        <v>32000</v>
      </c>
      <c r="C42" s="54"/>
    </row>
    <row r="43" spans="1:3" ht="38.25" customHeight="1" x14ac:dyDescent="0.25">
      <c r="A43" s="10" t="s">
        <v>127</v>
      </c>
      <c r="B43" s="91">
        <v>6500</v>
      </c>
      <c r="C43" s="49"/>
    </row>
    <row r="44" spans="1:3" ht="29.25" customHeight="1" x14ac:dyDescent="0.25">
      <c r="A44" s="10" t="s">
        <v>98</v>
      </c>
      <c r="B44" s="48">
        <v>16000</v>
      </c>
      <c r="C44" s="49"/>
    </row>
    <row r="45" spans="1:3" ht="24" customHeight="1" x14ac:dyDescent="0.25">
      <c r="A45" s="10" t="s">
        <v>95</v>
      </c>
      <c r="B45" s="48">
        <v>4500</v>
      </c>
      <c r="C45" s="49"/>
    </row>
    <row r="46" spans="1:3" ht="22.5" customHeight="1" x14ac:dyDescent="0.3">
      <c r="A46" s="24" t="s">
        <v>53</v>
      </c>
      <c r="B46" s="92">
        <f>B40+B41+B42+B43+B44+B45</f>
        <v>62696.4</v>
      </c>
      <c r="C46" s="93"/>
    </row>
    <row r="47" spans="1:3" ht="18.75" x14ac:dyDescent="0.3">
      <c r="A47" s="26" t="s">
        <v>38</v>
      </c>
      <c r="B47" s="84">
        <v>1313611.29</v>
      </c>
      <c r="C47" s="85"/>
    </row>
    <row r="48" spans="1:3" ht="18.75" x14ac:dyDescent="0.3">
      <c r="A48" s="27" t="s">
        <v>13</v>
      </c>
      <c r="B48" s="84">
        <v>1220765.29</v>
      </c>
      <c r="C48" s="86"/>
    </row>
    <row r="49" spans="1:3" ht="92.25" customHeight="1" x14ac:dyDescent="0.25">
      <c r="A49" s="29" t="s">
        <v>75</v>
      </c>
      <c r="B49" s="65">
        <v>897469.46</v>
      </c>
      <c r="C49" s="87"/>
    </row>
  </sheetData>
  <mergeCells count="31">
    <mergeCell ref="B37:C37"/>
    <mergeCell ref="B47:C47"/>
    <mergeCell ref="B48:C48"/>
    <mergeCell ref="B49:C49"/>
    <mergeCell ref="B38:C38"/>
    <mergeCell ref="A39:C39"/>
    <mergeCell ref="B40:C40"/>
    <mergeCell ref="B41:C41"/>
    <mergeCell ref="B42:C42"/>
    <mergeCell ref="B43:C43"/>
    <mergeCell ref="B44:C44"/>
    <mergeCell ref="B45:C45"/>
    <mergeCell ref="B46:C46"/>
    <mergeCell ref="B27:C27"/>
    <mergeCell ref="A1:C1"/>
    <mergeCell ref="A2:C2"/>
    <mergeCell ref="A3:C3"/>
    <mergeCell ref="A4:C4"/>
    <mergeCell ref="A5:A7"/>
    <mergeCell ref="B5:C6"/>
    <mergeCell ref="B8:C8"/>
    <mergeCell ref="A26:C26"/>
    <mergeCell ref="B36:C36"/>
    <mergeCell ref="B28:C28"/>
    <mergeCell ref="B29:C29"/>
    <mergeCell ref="B30:C30"/>
    <mergeCell ref="B31:C31"/>
    <mergeCell ref="B32:C32"/>
    <mergeCell ref="B33:C33"/>
    <mergeCell ref="B34:C34"/>
    <mergeCell ref="B35:C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7D307-E6AD-4DAF-A2E2-74E06491FE15}">
  <dimension ref="A1:C47"/>
  <sheetViews>
    <sheetView topLeftCell="A25" zoomScaleNormal="100" workbookViewId="0">
      <selection activeCell="A43" sqref="A43"/>
    </sheetView>
  </sheetViews>
  <sheetFormatPr defaultRowHeight="15" x14ac:dyDescent="0.25"/>
  <cols>
    <col min="1" max="1" width="39.42578125" customWidth="1"/>
    <col min="2" max="2" width="21.5703125" customWidth="1"/>
    <col min="3" max="3" width="24" customWidth="1"/>
  </cols>
  <sheetData>
    <row r="1" spans="1:3" ht="23.25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28</v>
      </c>
      <c r="B4" s="63"/>
      <c r="C4" s="63"/>
    </row>
    <row r="5" spans="1:3" x14ac:dyDescent="0.25">
      <c r="A5" s="64" t="s">
        <v>3</v>
      </c>
      <c r="B5" s="64" t="s">
        <v>29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26.25" customHeight="1" x14ac:dyDescent="0.25">
      <c r="A8" s="2" t="s">
        <v>6</v>
      </c>
      <c r="B8" s="42">
        <v>3232</v>
      </c>
      <c r="C8" s="42"/>
    </row>
    <row r="9" spans="1:3" ht="30" customHeight="1" x14ac:dyDescent="0.25">
      <c r="A9" s="2" t="s">
        <v>55</v>
      </c>
      <c r="B9" s="3">
        <v>183114</v>
      </c>
      <c r="C9" s="3">
        <v>177048</v>
      </c>
    </row>
    <row r="10" spans="1:3" ht="15.75" x14ac:dyDescent="0.25">
      <c r="A10" s="2" t="s">
        <v>56</v>
      </c>
      <c r="B10" s="3">
        <v>177322</v>
      </c>
      <c r="C10" s="3">
        <v>156821</v>
      </c>
    </row>
    <row r="11" spans="1:3" ht="15.75" x14ac:dyDescent="0.25">
      <c r="A11" s="2" t="s">
        <v>61</v>
      </c>
      <c r="B11" s="3">
        <v>478839</v>
      </c>
      <c r="C11" s="3">
        <v>475864</v>
      </c>
    </row>
    <row r="12" spans="1:3" ht="15.75" x14ac:dyDescent="0.25">
      <c r="A12" s="2" t="s">
        <v>7</v>
      </c>
      <c r="B12" s="14">
        <v>85179</v>
      </c>
      <c r="C12" s="15">
        <v>82042</v>
      </c>
    </row>
    <row r="13" spans="1:3" ht="51.75" customHeight="1" x14ac:dyDescent="0.25">
      <c r="A13" s="2" t="s">
        <v>8</v>
      </c>
      <c r="B13" s="14">
        <f>18.9*B8*12</f>
        <v>733017.59999999998</v>
      </c>
      <c r="C13" s="14">
        <v>734537</v>
      </c>
    </row>
    <row r="14" spans="1:3" ht="32.25" customHeight="1" x14ac:dyDescent="0.25">
      <c r="A14" s="5" t="s">
        <v>9</v>
      </c>
      <c r="B14" s="23">
        <f>5.99*B8*12</f>
        <v>232316.16</v>
      </c>
      <c r="C14" s="23">
        <f>B14*C13/B13</f>
        <v>232797.70529100532</v>
      </c>
    </row>
    <row r="15" spans="1:3" ht="29.25" customHeight="1" x14ac:dyDescent="0.25">
      <c r="A15" s="7" t="s">
        <v>23</v>
      </c>
      <c r="B15" s="23">
        <f>2.33*B8*12</f>
        <v>90366.720000000001</v>
      </c>
      <c r="C15" s="23">
        <f>B15*C13/B13</f>
        <v>90554.032275132282</v>
      </c>
    </row>
    <row r="16" spans="1:3" ht="51.75" customHeight="1" x14ac:dyDescent="0.25">
      <c r="A16" s="8" t="s">
        <v>17</v>
      </c>
      <c r="B16" s="23">
        <f>0.33*B8*12</f>
        <v>12798.72</v>
      </c>
      <c r="C16" s="23">
        <f>B16*C13/B13</f>
        <v>12825.249206349206</v>
      </c>
    </row>
    <row r="17" spans="1:3" ht="113.25" customHeight="1" x14ac:dyDescent="0.25">
      <c r="A17" s="8" t="s">
        <v>18</v>
      </c>
      <c r="B17" s="23">
        <f>1.58*B8*12</f>
        <v>61278.720000000001</v>
      </c>
      <c r="C17" s="23">
        <f>B17*C13/B13</f>
        <v>61405.738624338628</v>
      </c>
    </row>
    <row r="18" spans="1:3" ht="68.25" customHeight="1" x14ac:dyDescent="0.25">
      <c r="A18" s="8" t="s">
        <v>19</v>
      </c>
      <c r="B18" s="23">
        <f>1.77*B8*12</f>
        <v>68647.680000000008</v>
      </c>
      <c r="C18" s="23">
        <f>B18*C13/B13</f>
        <v>68789.973015873024</v>
      </c>
    </row>
    <row r="19" spans="1:3" ht="51.75" customHeight="1" x14ac:dyDescent="0.25">
      <c r="A19" s="8" t="s">
        <v>20</v>
      </c>
      <c r="B19" s="23">
        <f>2.07*B8*12</f>
        <v>80282.880000000005</v>
      </c>
      <c r="C19" s="23">
        <f>B19*C13/B13</f>
        <v>80449.290476190479</v>
      </c>
    </row>
    <row r="20" spans="1:3" ht="65.25" customHeight="1" x14ac:dyDescent="0.25">
      <c r="A20" s="8" t="s">
        <v>21</v>
      </c>
      <c r="B20" s="23">
        <f>1.67*B8*12</f>
        <v>64769.279999999999</v>
      </c>
      <c r="C20" s="23">
        <f>B20*C13/B13</f>
        <v>64903.533862433862</v>
      </c>
    </row>
    <row r="21" spans="1:3" ht="50.25" customHeight="1" x14ac:dyDescent="0.25">
      <c r="A21" s="8" t="s">
        <v>25</v>
      </c>
      <c r="B21" s="23">
        <f>2.75*B8*12</f>
        <v>106656</v>
      </c>
      <c r="C21" s="23">
        <f>B21*C13/B13</f>
        <v>106877.07671957673</v>
      </c>
    </row>
    <row r="22" spans="1:3" ht="17.25" customHeight="1" x14ac:dyDescent="0.25">
      <c r="A22" s="8" t="s">
        <v>10</v>
      </c>
      <c r="B22" s="23">
        <f>0.41*B8*12</f>
        <v>15901.439999999999</v>
      </c>
      <c r="C22" s="23">
        <f>B22*C13/B13</f>
        <v>15934.400529100529</v>
      </c>
    </row>
    <row r="23" spans="1:3" ht="50.25" customHeight="1" x14ac:dyDescent="0.25">
      <c r="A23" s="100" t="s">
        <v>86</v>
      </c>
      <c r="B23" s="101"/>
      <c r="C23" s="102"/>
    </row>
    <row r="24" spans="1:3" ht="44.25" customHeight="1" x14ac:dyDescent="0.25">
      <c r="A24" s="10" t="s">
        <v>36</v>
      </c>
      <c r="B24" s="98">
        <v>86950</v>
      </c>
      <c r="C24" s="99"/>
    </row>
    <row r="25" spans="1:3" ht="30.75" customHeight="1" x14ac:dyDescent="0.25">
      <c r="A25" s="10" t="s">
        <v>42</v>
      </c>
      <c r="B25" s="98">
        <v>75356</v>
      </c>
      <c r="C25" s="99"/>
    </row>
    <row r="26" spans="1:3" ht="20.25" customHeight="1" x14ac:dyDescent="0.25">
      <c r="A26" s="10" t="s">
        <v>43</v>
      </c>
      <c r="B26" s="98">
        <v>4176</v>
      </c>
      <c r="C26" s="99"/>
    </row>
    <row r="27" spans="1:3" ht="40.5" customHeight="1" x14ac:dyDescent="0.25">
      <c r="A27" s="10" t="s">
        <v>58</v>
      </c>
      <c r="B27" s="119">
        <v>20133.740000000002</v>
      </c>
      <c r="C27" s="120"/>
    </row>
    <row r="28" spans="1:3" ht="34.5" customHeight="1" x14ac:dyDescent="0.25">
      <c r="A28" s="10" t="s">
        <v>45</v>
      </c>
      <c r="B28" s="98">
        <v>453</v>
      </c>
      <c r="C28" s="99"/>
    </row>
    <row r="29" spans="1:3" ht="29.25" customHeight="1" x14ac:dyDescent="0.25">
      <c r="A29" s="10" t="s">
        <v>63</v>
      </c>
      <c r="B29" s="103">
        <v>52800</v>
      </c>
      <c r="C29" s="103"/>
    </row>
    <row r="30" spans="1:3" ht="47.25" x14ac:dyDescent="0.25">
      <c r="A30" s="10" t="s">
        <v>64</v>
      </c>
      <c r="B30" s="96">
        <v>56925</v>
      </c>
      <c r="C30" s="97"/>
    </row>
    <row r="31" spans="1:3" ht="15.75" x14ac:dyDescent="0.25">
      <c r="A31" s="10" t="s">
        <v>65</v>
      </c>
      <c r="B31" s="96">
        <v>39600</v>
      </c>
      <c r="C31" s="97"/>
    </row>
    <row r="32" spans="1:3" ht="15.75" x14ac:dyDescent="0.25">
      <c r="A32" s="10" t="s">
        <v>77</v>
      </c>
      <c r="B32" s="96">
        <v>232316</v>
      </c>
      <c r="C32" s="97"/>
    </row>
    <row r="33" spans="1:3" ht="20.25" x14ac:dyDescent="0.25">
      <c r="A33" s="28" t="s">
        <v>53</v>
      </c>
      <c r="B33" s="104">
        <v>568709.74</v>
      </c>
      <c r="C33" s="105"/>
    </row>
    <row r="34" spans="1:3" ht="21" customHeight="1" x14ac:dyDescent="0.35">
      <c r="A34" s="50" t="s">
        <v>41</v>
      </c>
      <c r="B34" s="51"/>
      <c r="C34" s="52"/>
    </row>
    <row r="35" spans="1:3" ht="21" customHeight="1" x14ac:dyDescent="0.25">
      <c r="A35" s="10" t="s">
        <v>67</v>
      </c>
      <c r="B35" s="94">
        <v>1954</v>
      </c>
      <c r="C35" s="95"/>
    </row>
    <row r="36" spans="1:3" ht="21" customHeight="1" x14ac:dyDescent="0.25">
      <c r="A36" s="10" t="s">
        <v>89</v>
      </c>
      <c r="B36" s="94">
        <v>241.65</v>
      </c>
      <c r="C36" s="95"/>
    </row>
    <row r="37" spans="1:3" ht="21" customHeight="1" x14ac:dyDescent="0.25">
      <c r="A37" s="10" t="s">
        <v>99</v>
      </c>
      <c r="B37" s="94">
        <v>1838</v>
      </c>
      <c r="C37" s="95"/>
    </row>
    <row r="38" spans="1:3" ht="29.25" customHeight="1" x14ac:dyDescent="0.25">
      <c r="A38" s="10" t="s">
        <v>62</v>
      </c>
      <c r="B38" s="118">
        <v>30000</v>
      </c>
      <c r="C38" s="118"/>
    </row>
    <row r="39" spans="1:3" ht="30.75" customHeight="1" x14ac:dyDescent="0.25">
      <c r="A39" s="10" t="s">
        <v>100</v>
      </c>
      <c r="B39" s="113">
        <v>4650</v>
      </c>
      <c r="C39" s="114"/>
    </row>
    <row r="40" spans="1:3" ht="35.25" customHeight="1" x14ac:dyDescent="0.25">
      <c r="A40" s="10" t="s">
        <v>106</v>
      </c>
      <c r="B40" s="108">
        <v>6500</v>
      </c>
      <c r="C40" s="109"/>
    </row>
    <row r="41" spans="1:3" ht="28.5" customHeight="1" x14ac:dyDescent="0.25">
      <c r="A41" s="20" t="s">
        <v>101</v>
      </c>
      <c r="B41" s="115">
        <v>4600</v>
      </c>
      <c r="C41" s="116"/>
    </row>
    <row r="42" spans="1:3" ht="28.5" customHeight="1" x14ac:dyDescent="0.25">
      <c r="A42" s="10" t="s">
        <v>52</v>
      </c>
      <c r="B42" s="113">
        <v>3000</v>
      </c>
      <c r="C42" s="117"/>
    </row>
    <row r="43" spans="1:3" ht="28.5" customHeight="1" x14ac:dyDescent="0.25">
      <c r="A43" s="10" t="s">
        <v>102</v>
      </c>
      <c r="B43" s="113">
        <v>18281.599999999999</v>
      </c>
      <c r="C43" s="117"/>
    </row>
    <row r="44" spans="1:3" ht="18.75" x14ac:dyDescent="0.25">
      <c r="A44" s="37" t="s">
        <v>53</v>
      </c>
      <c r="B44" s="111">
        <f>B35+B36+B37+B38+B39+B40+B41+B42+B43</f>
        <v>71065.25</v>
      </c>
      <c r="C44" s="112"/>
    </row>
    <row r="45" spans="1:3" ht="18.75" x14ac:dyDescent="0.25">
      <c r="A45" s="34" t="s">
        <v>38</v>
      </c>
      <c r="B45" s="106">
        <v>1684693.11</v>
      </c>
      <c r="C45" s="110"/>
    </row>
    <row r="46" spans="1:3" ht="18.75" x14ac:dyDescent="0.25">
      <c r="A46" s="11" t="s">
        <v>13</v>
      </c>
      <c r="B46" s="106">
        <v>1650932.67</v>
      </c>
      <c r="C46" s="107"/>
    </row>
    <row r="47" spans="1:3" ht="80.25" customHeight="1" x14ac:dyDescent="0.25">
      <c r="A47" s="33" t="s">
        <v>75</v>
      </c>
      <c r="B47" s="106">
        <v>253416.11</v>
      </c>
      <c r="C47" s="107"/>
    </row>
  </sheetData>
  <mergeCells count="32">
    <mergeCell ref="B37:C37"/>
    <mergeCell ref="B38:C38"/>
    <mergeCell ref="B27:C27"/>
    <mergeCell ref="B47:C47"/>
    <mergeCell ref="B40:C40"/>
    <mergeCell ref="B45:C45"/>
    <mergeCell ref="B44:C44"/>
    <mergeCell ref="B39:C39"/>
    <mergeCell ref="B41:C41"/>
    <mergeCell ref="B42:C42"/>
    <mergeCell ref="B43:C43"/>
    <mergeCell ref="B46:C46"/>
    <mergeCell ref="B36:C36"/>
    <mergeCell ref="B30:C30"/>
    <mergeCell ref="B8:C8"/>
    <mergeCell ref="B24:C24"/>
    <mergeCell ref="A23:C23"/>
    <mergeCell ref="B28:C28"/>
    <mergeCell ref="B29:C29"/>
    <mergeCell ref="B33:C33"/>
    <mergeCell ref="A34:C34"/>
    <mergeCell ref="B35:C35"/>
    <mergeCell ref="B25:C25"/>
    <mergeCell ref="B26:C26"/>
    <mergeCell ref="B31:C31"/>
    <mergeCell ref="B32:C32"/>
    <mergeCell ref="A1:C1"/>
    <mergeCell ref="A2:C2"/>
    <mergeCell ref="A3:C3"/>
    <mergeCell ref="A4:C4"/>
    <mergeCell ref="A5:A7"/>
    <mergeCell ref="B5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011B-3E05-49B7-AF34-8B3038A0E9D1}">
  <dimension ref="A1:C46"/>
  <sheetViews>
    <sheetView topLeftCell="A31" workbookViewId="0">
      <selection activeCell="B36" sqref="B36:C41"/>
    </sheetView>
  </sheetViews>
  <sheetFormatPr defaultRowHeight="15" x14ac:dyDescent="0.25"/>
  <cols>
    <col min="1" max="1" width="33.7109375" customWidth="1"/>
    <col min="2" max="2" width="22.7109375" customWidth="1"/>
    <col min="3" max="3" width="20.85546875" customWidth="1"/>
  </cols>
  <sheetData>
    <row r="1" spans="1:3" ht="23.25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30</v>
      </c>
      <c r="B4" s="63"/>
      <c r="C4" s="63"/>
    </row>
    <row r="5" spans="1:3" x14ac:dyDescent="0.25">
      <c r="A5" s="64" t="s">
        <v>3</v>
      </c>
      <c r="B5" s="64" t="s">
        <v>31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31.5" customHeight="1" x14ac:dyDescent="0.25">
      <c r="A8" s="2" t="s">
        <v>6</v>
      </c>
      <c r="B8" s="42">
        <v>3152.55</v>
      </c>
      <c r="C8" s="42"/>
    </row>
    <row r="9" spans="1:3" ht="15.75" x14ac:dyDescent="0.25">
      <c r="A9" s="2" t="s">
        <v>55</v>
      </c>
      <c r="B9" s="3">
        <v>160531</v>
      </c>
      <c r="C9" s="3">
        <v>161842</v>
      </c>
    </row>
    <row r="10" spans="1:3" ht="15.75" x14ac:dyDescent="0.25">
      <c r="A10" s="2" t="s">
        <v>56</v>
      </c>
      <c r="B10" s="3">
        <v>147022</v>
      </c>
      <c r="C10" s="3">
        <v>153042</v>
      </c>
    </row>
    <row r="11" spans="1:3" ht="15.75" x14ac:dyDescent="0.25">
      <c r="A11" s="2" t="s">
        <v>61</v>
      </c>
      <c r="B11" s="3">
        <v>496192</v>
      </c>
      <c r="C11" s="3">
        <v>495415</v>
      </c>
    </row>
    <row r="12" spans="1:3" ht="15.75" x14ac:dyDescent="0.25">
      <c r="A12" s="2" t="s">
        <v>7</v>
      </c>
      <c r="B12" s="14">
        <v>104251</v>
      </c>
      <c r="C12" s="15">
        <v>107123</v>
      </c>
    </row>
    <row r="13" spans="1:3" ht="65.25" customHeight="1" x14ac:dyDescent="0.25">
      <c r="A13" s="2" t="s">
        <v>8</v>
      </c>
      <c r="B13" s="14">
        <f>18.7*B8*12</f>
        <v>707432.22</v>
      </c>
      <c r="C13" s="14">
        <v>708612</v>
      </c>
    </row>
    <row r="14" spans="1:3" ht="15.75" x14ac:dyDescent="0.25">
      <c r="A14" s="5" t="s">
        <v>9</v>
      </c>
      <c r="B14" s="23">
        <f>5.99*B8*12</f>
        <v>226605.29400000005</v>
      </c>
      <c r="C14" s="23">
        <f>B14*C13/B13</f>
        <v>226983.20213903749</v>
      </c>
    </row>
    <row r="15" spans="1:3" ht="15.75" x14ac:dyDescent="0.25">
      <c r="A15" s="7" t="s">
        <v>23</v>
      </c>
      <c r="B15" s="23">
        <f>2.09*B8*12</f>
        <v>79065.953999999998</v>
      </c>
      <c r="C15" s="23">
        <f>B15*C13/B13</f>
        <v>79197.811764705883</v>
      </c>
    </row>
    <row r="16" spans="1:3" ht="53.25" customHeight="1" x14ac:dyDescent="0.25">
      <c r="A16" s="8" t="s">
        <v>24</v>
      </c>
      <c r="B16" s="23">
        <f>0.12*B8*12</f>
        <v>4539.6719999999996</v>
      </c>
      <c r="C16" s="23">
        <f>B16*C13/B13</f>
        <v>4547.2427807486629</v>
      </c>
    </row>
    <row r="17" spans="1:3" ht="57.75" customHeight="1" x14ac:dyDescent="0.25">
      <c r="A17" s="8" t="s">
        <v>17</v>
      </c>
      <c r="B17" s="23">
        <f>0.33*B8*12</f>
        <v>12484.098</v>
      </c>
      <c r="C17" s="23">
        <f>B17*C13/B13</f>
        <v>12504.917647058825</v>
      </c>
    </row>
    <row r="18" spans="1:3" ht="130.5" customHeight="1" x14ac:dyDescent="0.25">
      <c r="A18" s="8" t="s">
        <v>18</v>
      </c>
      <c r="B18" s="23">
        <f>1.58*B8*12</f>
        <v>59772.348000000005</v>
      </c>
      <c r="C18" s="23">
        <f>B18*C13/B13</f>
        <v>59872.029946524075</v>
      </c>
    </row>
    <row r="19" spans="1:3" ht="69" customHeight="1" x14ac:dyDescent="0.25">
      <c r="A19" s="8" t="s">
        <v>19</v>
      </c>
      <c r="B19" s="23">
        <f>1.79*B8*12</f>
        <v>67716.774000000005</v>
      </c>
      <c r="C19" s="23">
        <f>B19*C13/B13</f>
        <v>67829.704812834229</v>
      </c>
    </row>
    <row r="20" spans="1:3" ht="57" customHeight="1" x14ac:dyDescent="0.25">
      <c r="A20" s="8" t="s">
        <v>20</v>
      </c>
      <c r="B20" s="23">
        <f>2.07*B8*12</f>
        <v>78309.34199999999</v>
      </c>
      <c r="C20" s="23">
        <f>B20*C13/B13</f>
        <v>78439.937967914433</v>
      </c>
    </row>
    <row r="21" spans="1:3" ht="60.75" customHeight="1" x14ac:dyDescent="0.25">
      <c r="A21" s="8" t="s">
        <v>21</v>
      </c>
      <c r="B21" s="23">
        <f>1.67*B8*12</f>
        <v>63177.101999999999</v>
      </c>
      <c r="C21" s="23">
        <f>B21*C13/B13</f>
        <v>63282.462032085561</v>
      </c>
    </row>
    <row r="22" spans="1:3" ht="51.75" customHeight="1" x14ac:dyDescent="0.25">
      <c r="A22" s="8" t="s">
        <v>25</v>
      </c>
      <c r="B22" s="23">
        <f>2.65*B8*12</f>
        <v>100251.09</v>
      </c>
      <c r="C22" s="23">
        <f>B22*C13/B13</f>
        <v>100418.27807486632</v>
      </c>
    </row>
    <row r="23" spans="1:3" ht="31.5" customHeight="1" x14ac:dyDescent="0.25">
      <c r="A23" s="8" t="s">
        <v>10</v>
      </c>
      <c r="B23" s="23">
        <f>0.41*B8*12</f>
        <v>15510.545999999998</v>
      </c>
      <c r="C23" s="23">
        <f>B23*C13/B13</f>
        <v>15536.412834224597</v>
      </c>
    </row>
    <row r="24" spans="1:3" ht="35.25" customHeight="1" x14ac:dyDescent="0.25">
      <c r="A24" s="100" t="s">
        <v>88</v>
      </c>
      <c r="B24" s="101"/>
      <c r="C24" s="102"/>
    </row>
    <row r="25" spans="1:3" ht="31.5" x14ac:dyDescent="0.25">
      <c r="A25" s="10" t="s">
        <v>36</v>
      </c>
      <c r="B25" s="121">
        <v>100356</v>
      </c>
      <c r="C25" s="122"/>
    </row>
    <row r="26" spans="1:3" ht="15.75" x14ac:dyDescent="0.25">
      <c r="A26" s="10" t="s">
        <v>42</v>
      </c>
      <c r="B26" s="121">
        <v>80356</v>
      </c>
      <c r="C26" s="122"/>
    </row>
    <row r="27" spans="1:3" ht="31.5" x14ac:dyDescent="0.25">
      <c r="A27" s="10" t="s">
        <v>43</v>
      </c>
      <c r="B27" s="121">
        <v>4176</v>
      </c>
      <c r="C27" s="122"/>
    </row>
    <row r="28" spans="1:3" ht="31.5" x14ac:dyDescent="0.25">
      <c r="A28" s="10" t="s">
        <v>68</v>
      </c>
      <c r="B28" s="129">
        <v>26570.880000000001</v>
      </c>
      <c r="C28" s="130"/>
    </row>
    <row r="29" spans="1:3" ht="31.5" x14ac:dyDescent="0.25">
      <c r="A29" s="10" t="s">
        <v>37</v>
      </c>
      <c r="B29" s="121">
        <v>953</v>
      </c>
      <c r="C29" s="122"/>
    </row>
    <row r="30" spans="1:3" ht="47.25" x14ac:dyDescent="0.25">
      <c r="A30" s="21" t="s">
        <v>69</v>
      </c>
      <c r="B30" s="118">
        <v>60523</v>
      </c>
      <c r="C30" s="118"/>
    </row>
    <row r="31" spans="1:3" ht="47.25" x14ac:dyDescent="0.25">
      <c r="A31" s="10" t="s">
        <v>70</v>
      </c>
      <c r="B31" s="118">
        <v>69253</v>
      </c>
      <c r="C31" s="131"/>
    </row>
    <row r="32" spans="1:3" ht="31.5" x14ac:dyDescent="0.25">
      <c r="A32" s="10" t="s">
        <v>71</v>
      </c>
      <c r="B32" s="127">
        <v>52145</v>
      </c>
      <c r="C32" s="128"/>
    </row>
    <row r="33" spans="1:3" ht="15.75" x14ac:dyDescent="0.25">
      <c r="A33" s="10" t="s">
        <v>66</v>
      </c>
      <c r="B33" s="123">
        <v>226605.29</v>
      </c>
      <c r="C33" s="124"/>
    </row>
    <row r="34" spans="1:3" ht="18.75" x14ac:dyDescent="0.3">
      <c r="A34" s="30" t="s">
        <v>53</v>
      </c>
      <c r="B34" s="125">
        <v>620938.17000000004</v>
      </c>
      <c r="C34" s="126"/>
    </row>
    <row r="35" spans="1:3" ht="21" x14ac:dyDescent="0.35">
      <c r="A35" s="50" t="s">
        <v>41</v>
      </c>
      <c r="B35" s="51"/>
      <c r="C35" s="52"/>
    </row>
    <row r="36" spans="1:3" ht="15.75" x14ac:dyDescent="0.25">
      <c r="A36" s="10" t="s">
        <v>73</v>
      </c>
      <c r="B36" s="78">
        <v>44095</v>
      </c>
      <c r="C36" s="79"/>
    </row>
    <row r="37" spans="1:3" ht="31.5" x14ac:dyDescent="0.25">
      <c r="A37" s="10" t="s">
        <v>74</v>
      </c>
      <c r="B37" s="78">
        <v>6139</v>
      </c>
      <c r="C37" s="79"/>
    </row>
    <row r="38" spans="1:3" ht="15.75" x14ac:dyDescent="0.25">
      <c r="A38" s="20" t="s">
        <v>103</v>
      </c>
      <c r="B38" s="136">
        <v>1000</v>
      </c>
      <c r="C38" s="137"/>
    </row>
    <row r="39" spans="1:3" ht="29.25" x14ac:dyDescent="0.25">
      <c r="A39" s="20" t="s">
        <v>104</v>
      </c>
      <c r="B39" s="136">
        <v>16000</v>
      </c>
      <c r="C39" s="137"/>
    </row>
    <row r="40" spans="1:3" ht="15.75" x14ac:dyDescent="0.25">
      <c r="A40" s="20" t="s">
        <v>105</v>
      </c>
      <c r="B40" s="136">
        <v>4500</v>
      </c>
      <c r="C40" s="138"/>
    </row>
    <row r="41" spans="1:3" ht="47.25" x14ac:dyDescent="0.3">
      <c r="A41" s="10" t="s">
        <v>106</v>
      </c>
      <c r="B41" s="82">
        <v>10500</v>
      </c>
      <c r="C41" s="138"/>
    </row>
    <row r="42" spans="1:3" ht="18.75" x14ac:dyDescent="0.3">
      <c r="A42" s="36" t="s">
        <v>53</v>
      </c>
      <c r="B42" s="139">
        <f>B36+B37+B38+B39+B40+B41</f>
        <v>82234</v>
      </c>
      <c r="C42" s="140"/>
    </row>
    <row r="43" spans="1:3" ht="31.5" x14ac:dyDescent="0.3">
      <c r="A43" s="26" t="s">
        <v>38</v>
      </c>
      <c r="B43" s="132">
        <v>1624355.88</v>
      </c>
      <c r="C43" s="133"/>
    </row>
    <row r="44" spans="1:3" ht="18.75" x14ac:dyDescent="0.3">
      <c r="A44" s="27" t="s">
        <v>13</v>
      </c>
      <c r="B44" s="132">
        <v>1636594.8</v>
      </c>
      <c r="C44" s="133"/>
    </row>
    <row r="45" spans="1:3" ht="93.75" x14ac:dyDescent="0.25">
      <c r="A45" s="29" t="s">
        <v>75</v>
      </c>
      <c r="B45" s="134">
        <v>261104.9</v>
      </c>
      <c r="C45" s="135"/>
    </row>
    <row r="46" spans="1:3" x14ac:dyDescent="0.25">
      <c r="B46" s="22"/>
      <c r="C46" s="22"/>
    </row>
  </sheetData>
  <mergeCells count="29">
    <mergeCell ref="B43:C43"/>
    <mergeCell ref="B44:C44"/>
    <mergeCell ref="B45:C45"/>
    <mergeCell ref="A35:C35"/>
    <mergeCell ref="B36:C36"/>
    <mergeCell ref="B37:C37"/>
    <mergeCell ref="B38:C38"/>
    <mergeCell ref="B39:C39"/>
    <mergeCell ref="B40:C40"/>
    <mergeCell ref="B41:C41"/>
    <mergeCell ref="B42:C42"/>
    <mergeCell ref="B8:C8"/>
    <mergeCell ref="B25:C25"/>
    <mergeCell ref="A24:C24"/>
    <mergeCell ref="B33:C33"/>
    <mergeCell ref="B34:C34"/>
    <mergeCell ref="B32:C32"/>
    <mergeCell ref="B26:C26"/>
    <mergeCell ref="B27:C27"/>
    <mergeCell ref="B28:C28"/>
    <mergeCell ref="B29:C29"/>
    <mergeCell ref="B30:C30"/>
    <mergeCell ref="B31:C31"/>
    <mergeCell ref="A1:C1"/>
    <mergeCell ref="A2:C2"/>
    <mergeCell ref="A3:C3"/>
    <mergeCell ref="A4:C4"/>
    <mergeCell ref="A5:A7"/>
    <mergeCell ref="B5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3307-C918-4074-9E3B-C76CCE770A29}">
  <dimension ref="A1:C46"/>
  <sheetViews>
    <sheetView topLeftCell="A31" workbookViewId="0">
      <selection activeCell="B36" sqref="B36:C42"/>
    </sheetView>
  </sheetViews>
  <sheetFormatPr defaultRowHeight="15" x14ac:dyDescent="0.25"/>
  <cols>
    <col min="1" max="1" width="36.85546875" customWidth="1"/>
    <col min="2" max="2" width="21.28515625" customWidth="1"/>
    <col min="3" max="3" width="20.28515625" customWidth="1"/>
  </cols>
  <sheetData>
    <row r="1" spans="1:3" ht="18.75" customHeight="1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32</v>
      </c>
      <c r="B4" s="63"/>
      <c r="C4" s="63"/>
    </row>
    <row r="5" spans="1:3" x14ac:dyDescent="0.25">
      <c r="A5" s="64" t="s">
        <v>3</v>
      </c>
      <c r="B5" s="64" t="s">
        <v>33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15.75" x14ac:dyDescent="0.25">
      <c r="A8" s="2" t="s">
        <v>6</v>
      </c>
      <c r="B8" s="42">
        <v>3352.6</v>
      </c>
      <c r="C8" s="42"/>
    </row>
    <row r="9" spans="1:3" ht="15.75" x14ac:dyDescent="0.25">
      <c r="A9" s="2" t="s">
        <v>55</v>
      </c>
      <c r="B9" s="3">
        <v>241370</v>
      </c>
      <c r="C9" s="3">
        <v>238658</v>
      </c>
    </row>
    <row r="10" spans="1:3" ht="15.75" x14ac:dyDescent="0.25">
      <c r="A10" s="2" t="s">
        <v>56</v>
      </c>
      <c r="B10" s="3">
        <v>254419</v>
      </c>
      <c r="C10" s="3">
        <v>255465</v>
      </c>
    </row>
    <row r="11" spans="1:3" ht="15.75" x14ac:dyDescent="0.25">
      <c r="A11" s="2" t="s">
        <v>61</v>
      </c>
      <c r="B11" s="3">
        <v>499900</v>
      </c>
      <c r="C11" s="3">
        <v>490746</v>
      </c>
    </row>
    <row r="12" spans="1:3" ht="15.75" x14ac:dyDescent="0.25">
      <c r="A12" s="2" t="s">
        <v>7</v>
      </c>
      <c r="B12" s="14">
        <v>111632</v>
      </c>
      <c r="C12" s="15">
        <v>112946</v>
      </c>
    </row>
    <row r="13" spans="1:3" ht="58.5" customHeight="1" x14ac:dyDescent="0.25">
      <c r="A13" s="2" t="s">
        <v>8</v>
      </c>
      <c r="B13" s="14">
        <f>18.85*B8*12</f>
        <v>758358.12</v>
      </c>
      <c r="C13" s="14">
        <v>765881</v>
      </c>
    </row>
    <row r="14" spans="1:3" ht="15.75" x14ac:dyDescent="0.25">
      <c r="A14" s="5" t="s">
        <v>9</v>
      </c>
      <c r="B14" s="23">
        <f>5.99*B8*12</f>
        <v>240984.88800000001</v>
      </c>
      <c r="C14" s="23">
        <f>B14*C13/B13</f>
        <v>243375.44774535811</v>
      </c>
    </row>
    <row r="15" spans="1:3" ht="15.75" x14ac:dyDescent="0.25">
      <c r="A15" s="7" t="s">
        <v>23</v>
      </c>
      <c r="B15" s="23">
        <f>2.26*B8*12</f>
        <v>90922.511999999988</v>
      </c>
      <c r="C15" s="23">
        <f>B15*C13/B13</f>
        <v>91824.459416445607</v>
      </c>
    </row>
    <row r="16" spans="1:3" ht="35.25" customHeight="1" x14ac:dyDescent="0.25">
      <c r="A16" s="8" t="s">
        <v>24</v>
      </c>
      <c r="B16" s="23">
        <f>0.12*B8*12</f>
        <v>4827.7439999999997</v>
      </c>
      <c r="C16" s="23">
        <f>B16*C13/B13</f>
        <v>4875.6350132625994</v>
      </c>
    </row>
    <row r="17" spans="1:3" ht="54.75" customHeight="1" x14ac:dyDescent="0.25">
      <c r="A17" s="8" t="s">
        <v>17</v>
      </c>
      <c r="B17" s="23">
        <f>0.33*B8*12</f>
        <v>13276.295999999998</v>
      </c>
      <c r="C17" s="23">
        <f>B17*C13/B13</f>
        <v>13407.996286472147</v>
      </c>
    </row>
    <row r="18" spans="1:3" ht="111.75" customHeight="1" x14ac:dyDescent="0.25">
      <c r="A18" s="8" t="s">
        <v>18</v>
      </c>
      <c r="B18" s="23">
        <f>1.58*B8*12</f>
        <v>63565.296000000002</v>
      </c>
      <c r="C18" s="23">
        <f>B18*C13/B13</f>
        <v>64195.861007957559</v>
      </c>
    </row>
    <row r="19" spans="1:3" ht="66" customHeight="1" x14ac:dyDescent="0.25">
      <c r="A19" s="8" t="s">
        <v>19</v>
      </c>
      <c r="B19" s="23">
        <f>1.77*B8*12</f>
        <v>71209.224000000002</v>
      </c>
      <c r="C19" s="23">
        <f>B19*C13/B13</f>
        <v>71915.616445623338</v>
      </c>
    </row>
    <row r="20" spans="1:3" ht="51.75" customHeight="1" x14ac:dyDescent="0.25">
      <c r="A20" s="8" t="s">
        <v>20</v>
      </c>
      <c r="B20" s="23">
        <f>2.07*B8*12</f>
        <v>83278.584000000003</v>
      </c>
      <c r="C20" s="23">
        <f>B20*C13/B13</f>
        <v>84104.703978779842</v>
      </c>
    </row>
    <row r="21" spans="1:3" ht="63.75" customHeight="1" x14ac:dyDescent="0.25">
      <c r="A21" s="8" t="s">
        <v>21</v>
      </c>
      <c r="B21" s="23">
        <f>1.67*B8*12</f>
        <v>67186.103999999992</v>
      </c>
      <c r="C21" s="23">
        <f>B21*C13/B13</f>
        <v>67852.587267904499</v>
      </c>
    </row>
    <row r="22" spans="1:3" ht="51" customHeight="1" x14ac:dyDescent="0.25">
      <c r="A22" s="8" t="s">
        <v>25</v>
      </c>
      <c r="B22" s="23">
        <f>2.65*B8*12</f>
        <v>106612.68</v>
      </c>
      <c r="C22" s="23">
        <f>B22*C13/B13</f>
        <v>107670.27320954908</v>
      </c>
    </row>
    <row r="23" spans="1:3" ht="28.5" customHeight="1" x14ac:dyDescent="0.25">
      <c r="A23" s="8" t="s">
        <v>10</v>
      </c>
      <c r="B23" s="23">
        <f>0.41*B8*12</f>
        <v>16494.791999999998</v>
      </c>
      <c r="C23" s="23">
        <f>B23*C13/B13</f>
        <v>16658.419628647214</v>
      </c>
    </row>
    <row r="24" spans="1:3" ht="36" customHeight="1" x14ac:dyDescent="0.25">
      <c r="A24" s="100" t="s">
        <v>86</v>
      </c>
      <c r="B24" s="101"/>
      <c r="C24" s="102"/>
    </row>
    <row r="25" spans="1:3" ht="31.5" x14ac:dyDescent="0.25">
      <c r="A25" s="10" t="s">
        <v>36</v>
      </c>
      <c r="B25" s="94">
        <v>121325.32</v>
      </c>
      <c r="C25" s="95"/>
    </row>
    <row r="26" spans="1:3" ht="15.75" x14ac:dyDescent="0.25">
      <c r="A26" s="10" t="s">
        <v>42</v>
      </c>
      <c r="B26" s="94">
        <v>80562</v>
      </c>
      <c r="C26" s="95"/>
    </row>
    <row r="27" spans="1:3" ht="15.75" x14ac:dyDescent="0.25">
      <c r="A27" s="10" t="s">
        <v>43</v>
      </c>
      <c r="B27" s="94">
        <v>4536</v>
      </c>
      <c r="C27" s="95"/>
    </row>
    <row r="28" spans="1:3" ht="15.75" x14ac:dyDescent="0.25">
      <c r="A28" s="10" t="s">
        <v>58</v>
      </c>
      <c r="B28" s="150">
        <v>20553.12</v>
      </c>
      <c r="C28" s="151"/>
    </row>
    <row r="29" spans="1:3" ht="31.5" x14ac:dyDescent="0.25">
      <c r="A29" s="10" t="s">
        <v>45</v>
      </c>
      <c r="B29" s="94">
        <v>1321</v>
      </c>
      <c r="C29" s="95"/>
    </row>
    <row r="30" spans="1:3" ht="47.25" x14ac:dyDescent="0.25">
      <c r="A30" s="10" t="s">
        <v>76</v>
      </c>
      <c r="B30" s="118">
        <v>68230</v>
      </c>
      <c r="C30" s="131"/>
    </row>
    <row r="31" spans="1:3" ht="47.25" x14ac:dyDescent="0.25">
      <c r="A31" s="10" t="s">
        <v>64</v>
      </c>
      <c r="B31" s="113">
        <v>75320</v>
      </c>
      <c r="C31" s="114"/>
    </row>
    <row r="32" spans="1:3" ht="31.5" x14ac:dyDescent="0.25">
      <c r="A32" s="10" t="s">
        <v>65</v>
      </c>
      <c r="B32" s="113">
        <v>50500</v>
      </c>
      <c r="C32" s="114"/>
    </row>
    <row r="33" spans="1:3" ht="15.75" x14ac:dyDescent="0.25">
      <c r="A33" s="10" t="s">
        <v>77</v>
      </c>
      <c r="B33" s="113">
        <v>240984.89</v>
      </c>
      <c r="C33" s="114"/>
    </row>
    <row r="34" spans="1:3" ht="18.75" x14ac:dyDescent="0.3">
      <c r="A34" s="31" t="s">
        <v>78</v>
      </c>
      <c r="B34" s="145">
        <v>663332.32999999996</v>
      </c>
      <c r="C34" s="146"/>
    </row>
    <row r="35" spans="1:3" ht="21" x14ac:dyDescent="0.35">
      <c r="A35" s="50" t="s">
        <v>41</v>
      </c>
      <c r="B35" s="51"/>
      <c r="C35" s="52"/>
    </row>
    <row r="36" spans="1:3" ht="15.75" x14ac:dyDescent="0.25">
      <c r="A36" s="10" t="s">
        <v>79</v>
      </c>
      <c r="B36" s="94">
        <v>17183</v>
      </c>
      <c r="C36" s="95"/>
    </row>
    <row r="37" spans="1:3" ht="47.25" x14ac:dyDescent="0.25">
      <c r="A37" s="10" t="s">
        <v>90</v>
      </c>
      <c r="B37" s="94">
        <v>7200</v>
      </c>
      <c r="C37" s="95"/>
    </row>
    <row r="38" spans="1:3" ht="15.75" x14ac:dyDescent="0.25">
      <c r="A38" s="10" t="s">
        <v>103</v>
      </c>
      <c r="B38" s="94">
        <v>1000</v>
      </c>
      <c r="C38" s="95"/>
    </row>
    <row r="39" spans="1:3" ht="29.25" x14ac:dyDescent="0.25">
      <c r="A39" s="20" t="s">
        <v>107</v>
      </c>
      <c r="B39" s="115">
        <v>4600</v>
      </c>
      <c r="C39" s="143"/>
    </row>
    <row r="40" spans="1:3" ht="15.75" x14ac:dyDescent="0.25">
      <c r="A40" s="10" t="s">
        <v>105</v>
      </c>
      <c r="B40" s="113">
        <v>3000</v>
      </c>
      <c r="C40" s="144"/>
    </row>
    <row r="41" spans="1:3" ht="31.5" x14ac:dyDescent="0.25">
      <c r="A41" s="10" t="s">
        <v>108</v>
      </c>
      <c r="B41" s="113">
        <v>18281.599999999999</v>
      </c>
      <c r="C41" s="144"/>
    </row>
    <row r="42" spans="1:3" ht="29.25" x14ac:dyDescent="0.25">
      <c r="A42" s="20" t="s">
        <v>109</v>
      </c>
      <c r="B42" s="113">
        <v>24000</v>
      </c>
      <c r="C42" s="114"/>
    </row>
    <row r="43" spans="1:3" ht="18.75" x14ac:dyDescent="0.3">
      <c r="A43" s="35" t="s">
        <v>80</v>
      </c>
      <c r="B43" s="141">
        <f>B36+B37+B38+B39+B40+B41+B42</f>
        <v>75264.600000000006</v>
      </c>
      <c r="C43" s="142"/>
    </row>
    <row r="44" spans="1:3" ht="18.75" x14ac:dyDescent="0.3">
      <c r="A44" s="34" t="s">
        <v>38</v>
      </c>
      <c r="B44" s="147">
        <v>1882547.51</v>
      </c>
      <c r="C44" s="148"/>
    </row>
    <row r="45" spans="1:3" ht="18.75" x14ac:dyDescent="0.3">
      <c r="A45" s="11" t="s">
        <v>13</v>
      </c>
      <c r="B45" s="147">
        <v>1877652.28</v>
      </c>
      <c r="C45" s="149"/>
    </row>
    <row r="46" spans="1:3" ht="75" x14ac:dyDescent="0.25">
      <c r="A46" s="33" t="s">
        <v>75</v>
      </c>
      <c r="B46" s="106">
        <v>306809.40000000002</v>
      </c>
      <c r="C46" s="107"/>
    </row>
  </sheetData>
  <mergeCells count="30">
    <mergeCell ref="B46:C46"/>
    <mergeCell ref="A24:C24"/>
    <mergeCell ref="B34:C34"/>
    <mergeCell ref="B44:C44"/>
    <mergeCell ref="B45:C45"/>
    <mergeCell ref="B32:C32"/>
    <mergeCell ref="B33:C33"/>
    <mergeCell ref="B31:C31"/>
    <mergeCell ref="B26:C26"/>
    <mergeCell ref="B27:C27"/>
    <mergeCell ref="B28:C28"/>
    <mergeCell ref="B29:C29"/>
    <mergeCell ref="B30:C30"/>
    <mergeCell ref="B25:C25"/>
    <mergeCell ref="B38:C38"/>
    <mergeCell ref="B41:C41"/>
    <mergeCell ref="A1:C1"/>
    <mergeCell ref="A2:C2"/>
    <mergeCell ref="A3:C3"/>
    <mergeCell ref="A4:C4"/>
    <mergeCell ref="A5:A7"/>
    <mergeCell ref="B5:C6"/>
    <mergeCell ref="B42:C42"/>
    <mergeCell ref="B43:C43"/>
    <mergeCell ref="B39:C39"/>
    <mergeCell ref="B40:C40"/>
    <mergeCell ref="B8:C8"/>
    <mergeCell ref="A35:C35"/>
    <mergeCell ref="B36:C36"/>
    <mergeCell ref="B37:C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61FF-7513-4C84-9B04-66D7C0A03398}">
  <dimension ref="A1:C53"/>
  <sheetViews>
    <sheetView topLeftCell="A37" workbookViewId="0">
      <selection activeCell="C25" sqref="C25"/>
    </sheetView>
  </sheetViews>
  <sheetFormatPr defaultRowHeight="15" x14ac:dyDescent="0.25"/>
  <cols>
    <col min="1" max="1" width="33" customWidth="1"/>
    <col min="2" max="2" width="28" customWidth="1"/>
    <col min="3" max="3" width="21.5703125" customWidth="1"/>
  </cols>
  <sheetData>
    <row r="1" spans="1:3" ht="23.25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34</v>
      </c>
      <c r="B4" s="63"/>
      <c r="C4" s="63"/>
    </row>
    <row r="5" spans="1:3" x14ac:dyDescent="0.25">
      <c r="A5" s="64" t="s">
        <v>3</v>
      </c>
      <c r="B5" s="64" t="s">
        <v>35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15.75" x14ac:dyDescent="0.25">
      <c r="A8" s="16" t="s">
        <v>6</v>
      </c>
      <c r="B8" s="42">
        <v>4608.1000000000004</v>
      </c>
      <c r="C8" s="42"/>
    </row>
    <row r="9" spans="1:3" ht="15.75" x14ac:dyDescent="0.25">
      <c r="A9" s="16" t="s">
        <v>55</v>
      </c>
      <c r="B9" s="17">
        <v>273529</v>
      </c>
      <c r="C9" s="17">
        <v>257052</v>
      </c>
    </row>
    <row r="10" spans="1:3" ht="15.75" x14ac:dyDescent="0.25">
      <c r="A10" s="16" t="s">
        <v>56</v>
      </c>
      <c r="B10" s="17">
        <v>285898</v>
      </c>
      <c r="C10" s="17">
        <v>275826</v>
      </c>
    </row>
    <row r="11" spans="1:3" ht="15.75" x14ac:dyDescent="0.25">
      <c r="A11" s="16" t="s">
        <v>61</v>
      </c>
      <c r="B11" s="17">
        <v>815681</v>
      </c>
      <c r="C11" s="17">
        <v>767879</v>
      </c>
    </row>
    <row r="12" spans="1:3" ht="15.75" x14ac:dyDescent="0.25">
      <c r="A12" s="16" t="s">
        <v>7</v>
      </c>
      <c r="B12" s="14">
        <v>153283</v>
      </c>
      <c r="C12" s="15">
        <v>147483</v>
      </c>
    </row>
    <row r="13" spans="1:3" ht="47.25" x14ac:dyDescent="0.25">
      <c r="A13" s="16" t="s">
        <v>8</v>
      </c>
      <c r="B13" s="14">
        <f>15.44*B8*12</f>
        <v>853788.76799999992</v>
      </c>
      <c r="C13" s="14">
        <v>846637</v>
      </c>
    </row>
    <row r="14" spans="1:3" ht="15.75" x14ac:dyDescent="0.25">
      <c r="A14" s="18" t="s">
        <v>9</v>
      </c>
      <c r="B14" s="23">
        <f>5.99*B8*12</f>
        <v>331230.22800000006</v>
      </c>
      <c r="C14" s="23">
        <f>B14*C13/B13</f>
        <v>328455.67551813478</v>
      </c>
    </row>
    <row r="15" spans="1:3" ht="15.75" x14ac:dyDescent="0.25">
      <c r="A15" s="7" t="s">
        <v>23</v>
      </c>
      <c r="B15" s="23">
        <f>0.95*B8*12</f>
        <v>52532.34</v>
      </c>
      <c r="C15" s="23">
        <f>B15*C13/B13</f>
        <v>52092.302461139894</v>
      </c>
    </row>
    <row r="16" spans="1:3" ht="31.5" x14ac:dyDescent="0.25">
      <c r="A16" s="8" t="s">
        <v>24</v>
      </c>
      <c r="B16" s="23">
        <f>0.12*B8*12</f>
        <v>6635.6639999999998</v>
      </c>
      <c r="C16" s="23">
        <f>B16*C13/B13</f>
        <v>6580.0803108808286</v>
      </c>
    </row>
    <row r="17" spans="1:3" ht="63" x14ac:dyDescent="0.25">
      <c r="A17" s="8" t="s">
        <v>17</v>
      </c>
      <c r="B17" s="23">
        <f>0.1*B8*12</f>
        <v>5529.7200000000012</v>
      </c>
      <c r="C17" s="23">
        <f>B17*C13/B13</f>
        <v>5483.4002590673599</v>
      </c>
    </row>
    <row r="18" spans="1:3" ht="142.5" customHeight="1" x14ac:dyDescent="0.25">
      <c r="A18" s="8" t="s">
        <v>18</v>
      </c>
      <c r="B18" s="23">
        <f>1.28*B8*12</f>
        <v>70780.415999999997</v>
      </c>
      <c r="C18" s="23">
        <f>B18*C13/B13</f>
        <v>70187.523316062172</v>
      </c>
    </row>
    <row r="19" spans="1:3" ht="63" x14ac:dyDescent="0.25">
      <c r="A19" s="8" t="s">
        <v>19</v>
      </c>
      <c r="B19" s="23">
        <f>1.72*B8*12</f>
        <v>95111.184000000008</v>
      </c>
      <c r="C19" s="23">
        <f>B19*C13/B13</f>
        <v>94314.484455958562</v>
      </c>
    </row>
    <row r="20" spans="1:3" ht="47.25" x14ac:dyDescent="0.25">
      <c r="A20" s="8" t="s">
        <v>20</v>
      </c>
      <c r="B20" s="23">
        <f>1.54*B8*12</f>
        <v>85157.688000000009</v>
      </c>
      <c r="C20" s="23">
        <f>B20*C13/B13</f>
        <v>84444.363989637321</v>
      </c>
    </row>
    <row r="21" spans="1:3" ht="63" x14ac:dyDescent="0.25">
      <c r="A21" s="8" t="s">
        <v>21</v>
      </c>
      <c r="B21" s="23">
        <f>1.29*B8*12</f>
        <v>71333.388000000006</v>
      </c>
      <c r="C21" s="23">
        <f>B21*C13/B13</f>
        <v>70735.863341968929</v>
      </c>
    </row>
    <row r="22" spans="1:3" ht="47.25" x14ac:dyDescent="0.25">
      <c r="A22" s="8" t="s">
        <v>25</v>
      </c>
      <c r="B22" s="23">
        <f>1.47*B8*12</f>
        <v>81286.884000000005</v>
      </c>
      <c r="C22" s="23">
        <f>B22*C13/B13</f>
        <v>80605.98380829017</v>
      </c>
    </row>
    <row r="23" spans="1:3" ht="31.5" x14ac:dyDescent="0.25">
      <c r="A23" s="8" t="s">
        <v>10</v>
      </c>
      <c r="B23" s="23">
        <f>0.3*B8*12</f>
        <v>16589.16</v>
      </c>
      <c r="C23" s="23">
        <f>B23*C13/B13</f>
        <v>16450.200777202073</v>
      </c>
    </row>
    <row r="24" spans="1:3" ht="31.5" x14ac:dyDescent="0.25">
      <c r="A24" s="8" t="s">
        <v>128</v>
      </c>
      <c r="B24" s="39">
        <f>0.68*B8*7</f>
        <v>21934.556</v>
      </c>
      <c r="C24" s="39">
        <f>B24*C13/B13</f>
        <v>21750.821027633854</v>
      </c>
    </row>
    <row r="25" spans="1:3" ht="31.5" x14ac:dyDescent="0.25">
      <c r="A25" s="8" t="s">
        <v>129</v>
      </c>
      <c r="B25" s="39">
        <f>4.44*B8*5</f>
        <v>102299.82000000002</v>
      </c>
      <c r="C25" s="39">
        <f>B25*C14/B14</f>
        <v>101442.90479274614</v>
      </c>
    </row>
    <row r="26" spans="1:3" ht="48.75" customHeight="1" x14ac:dyDescent="0.25">
      <c r="A26" s="100" t="s">
        <v>88</v>
      </c>
      <c r="B26" s="158"/>
      <c r="C26" s="159"/>
    </row>
    <row r="27" spans="1:3" ht="33.75" customHeight="1" x14ac:dyDescent="0.25">
      <c r="A27" s="10" t="s">
        <v>36</v>
      </c>
      <c r="B27" s="98">
        <v>87200</v>
      </c>
      <c r="C27" s="99"/>
    </row>
    <row r="28" spans="1:3" ht="15" customHeight="1" x14ac:dyDescent="0.25">
      <c r="A28" s="10" t="s">
        <v>42</v>
      </c>
      <c r="B28" s="98">
        <v>65235</v>
      </c>
      <c r="C28" s="99"/>
    </row>
    <row r="29" spans="1:3" ht="15" customHeight="1" x14ac:dyDescent="0.25">
      <c r="A29" s="10" t="s">
        <v>43</v>
      </c>
      <c r="B29" s="98">
        <v>5920</v>
      </c>
      <c r="C29" s="99"/>
    </row>
    <row r="30" spans="1:3" ht="15" customHeight="1" x14ac:dyDescent="0.25">
      <c r="A30" s="10" t="s">
        <v>58</v>
      </c>
      <c r="B30" s="119">
        <v>39127.800000000003</v>
      </c>
      <c r="C30" s="120"/>
    </row>
    <row r="31" spans="1:3" ht="31.5" x14ac:dyDescent="0.25">
      <c r="A31" s="10" t="s">
        <v>45</v>
      </c>
      <c r="B31" s="98">
        <v>1321</v>
      </c>
      <c r="C31" s="99"/>
    </row>
    <row r="32" spans="1:3" ht="30" customHeight="1" x14ac:dyDescent="0.25">
      <c r="A32" s="10" t="s">
        <v>76</v>
      </c>
      <c r="B32" s="160">
        <v>53636</v>
      </c>
      <c r="C32" s="161"/>
    </row>
    <row r="33" spans="1:3" ht="48" customHeight="1" x14ac:dyDescent="0.25">
      <c r="A33" s="10" t="s">
        <v>64</v>
      </c>
      <c r="B33" s="96">
        <v>80563</v>
      </c>
      <c r="C33" s="97"/>
    </row>
    <row r="34" spans="1:3" ht="27.75" customHeight="1" x14ac:dyDescent="0.25">
      <c r="A34" s="10" t="s">
        <v>65</v>
      </c>
      <c r="B34" s="96">
        <v>70121</v>
      </c>
      <c r="C34" s="97"/>
    </row>
    <row r="35" spans="1:3" ht="31.5" customHeight="1" x14ac:dyDescent="0.25">
      <c r="A35" s="10" t="s">
        <v>77</v>
      </c>
      <c r="B35" s="96">
        <v>331230.23</v>
      </c>
      <c r="C35" s="97"/>
    </row>
    <row r="36" spans="1:3" ht="18.75" x14ac:dyDescent="0.3">
      <c r="A36" s="19" t="s">
        <v>78</v>
      </c>
      <c r="B36" s="156">
        <v>734354.03</v>
      </c>
      <c r="C36" s="157"/>
    </row>
    <row r="37" spans="1:3" ht="21" x14ac:dyDescent="0.35">
      <c r="A37" s="50" t="s">
        <v>41</v>
      </c>
      <c r="B37" s="51"/>
      <c r="C37" s="52"/>
    </row>
    <row r="38" spans="1:3" ht="31.5" x14ac:dyDescent="0.25">
      <c r="A38" s="10" t="s">
        <v>81</v>
      </c>
      <c r="B38" s="98">
        <v>2500</v>
      </c>
      <c r="C38" s="99"/>
    </row>
    <row r="39" spans="1:3" ht="47.25" x14ac:dyDescent="0.25">
      <c r="A39" s="10" t="s">
        <v>91</v>
      </c>
      <c r="B39" s="98">
        <v>9500</v>
      </c>
      <c r="C39" s="99"/>
    </row>
    <row r="40" spans="1:3" ht="15.75" x14ac:dyDescent="0.25">
      <c r="A40" s="10" t="s">
        <v>82</v>
      </c>
      <c r="B40" s="98">
        <v>1224</v>
      </c>
      <c r="C40" s="99"/>
    </row>
    <row r="41" spans="1:3" ht="15.75" x14ac:dyDescent="0.25">
      <c r="A41" s="10" t="s">
        <v>83</v>
      </c>
      <c r="B41" s="98">
        <v>1000</v>
      </c>
      <c r="C41" s="99"/>
    </row>
    <row r="42" spans="1:3" ht="29.25" x14ac:dyDescent="0.25">
      <c r="A42" s="40" t="s">
        <v>110</v>
      </c>
      <c r="B42" s="96">
        <v>2261</v>
      </c>
      <c r="C42" s="97"/>
    </row>
    <row r="43" spans="1:3" ht="15.75" x14ac:dyDescent="0.25">
      <c r="A43" s="20" t="s">
        <v>111</v>
      </c>
      <c r="B43" s="96">
        <v>140144.04</v>
      </c>
      <c r="C43" s="97"/>
    </row>
    <row r="44" spans="1:3" ht="29.25" x14ac:dyDescent="0.25">
      <c r="A44" s="40" t="s">
        <v>112</v>
      </c>
      <c r="B44" s="96">
        <v>24000</v>
      </c>
      <c r="C44" s="97"/>
    </row>
    <row r="45" spans="1:3" ht="15.75" x14ac:dyDescent="0.25">
      <c r="A45" s="41" t="s">
        <v>113</v>
      </c>
      <c r="B45" s="96">
        <v>175776</v>
      </c>
      <c r="C45" s="83"/>
    </row>
    <row r="46" spans="1:3" ht="31.5" x14ac:dyDescent="0.25">
      <c r="A46" s="41" t="s">
        <v>114</v>
      </c>
      <c r="B46" s="96">
        <v>36563.199999999997</v>
      </c>
      <c r="C46" s="83"/>
    </row>
    <row r="47" spans="1:3" ht="15.75" x14ac:dyDescent="0.25">
      <c r="A47" s="41" t="s">
        <v>115</v>
      </c>
      <c r="B47" s="96">
        <v>3000</v>
      </c>
      <c r="C47" s="83"/>
    </row>
    <row r="48" spans="1:3" ht="31.5" x14ac:dyDescent="0.25">
      <c r="A48" s="10" t="s">
        <v>116</v>
      </c>
      <c r="B48" s="96">
        <v>1626</v>
      </c>
      <c r="C48" s="83"/>
    </row>
    <row r="49" spans="1:3" ht="31.5" x14ac:dyDescent="0.25">
      <c r="A49" s="10" t="s">
        <v>130</v>
      </c>
      <c r="B49" s="152">
        <f>B38+B39+B40+B41+B42+B43+B44+B45+B46+B47+B48</f>
        <v>397594.24000000005</v>
      </c>
      <c r="C49" s="153"/>
    </row>
    <row r="50" spans="1:3" ht="31.5" x14ac:dyDescent="0.25">
      <c r="A50" s="10" t="s">
        <v>131</v>
      </c>
      <c r="B50" s="152">
        <v>296151.34000000003</v>
      </c>
      <c r="C50" s="155"/>
    </row>
    <row r="51" spans="1:3" ht="31.5" x14ac:dyDescent="0.25">
      <c r="A51" s="32" t="s">
        <v>38</v>
      </c>
      <c r="B51" s="106">
        <v>2407738.48</v>
      </c>
      <c r="C51" s="154"/>
    </row>
    <row r="52" spans="1:3" ht="31.5" x14ac:dyDescent="0.25">
      <c r="A52" s="11" t="s">
        <v>13</v>
      </c>
      <c r="B52" s="106">
        <v>2320416.11</v>
      </c>
      <c r="C52" s="107"/>
    </row>
    <row r="53" spans="1:3" ht="93.75" x14ac:dyDescent="0.25">
      <c r="A53" s="33" t="s">
        <v>75</v>
      </c>
      <c r="B53" s="106">
        <v>804441.2</v>
      </c>
      <c r="C53" s="107"/>
    </row>
  </sheetData>
  <mergeCells count="35">
    <mergeCell ref="B8:C8"/>
    <mergeCell ref="B42:C42"/>
    <mergeCell ref="B35:C35"/>
    <mergeCell ref="A1:C1"/>
    <mergeCell ref="A2:C2"/>
    <mergeCell ref="A3:C3"/>
    <mergeCell ref="A4:C4"/>
    <mergeCell ref="A5:A7"/>
    <mergeCell ref="B5:C6"/>
    <mergeCell ref="A37:C37"/>
    <mergeCell ref="B38:C38"/>
    <mergeCell ref="B39:C39"/>
    <mergeCell ref="B40:C40"/>
    <mergeCell ref="B41:C41"/>
    <mergeCell ref="B52:C52"/>
    <mergeCell ref="B53:C53"/>
    <mergeCell ref="B36:C36"/>
    <mergeCell ref="A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6:C46"/>
    <mergeCell ref="B47:C47"/>
    <mergeCell ref="B49:C49"/>
    <mergeCell ref="B51:C51"/>
    <mergeCell ref="B48:C48"/>
    <mergeCell ref="B50:C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0B6B-CE3C-4338-993D-4A2790C0106A}">
  <dimension ref="A1:C53"/>
  <sheetViews>
    <sheetView tabSelected="1" topLeftCell="A10" workbookViewId="0">
      <selection activeCell="F45" sqref="D45:F45"/>
    </sheetView>
  </sheetViews>
  <sheetFormatPr defaultRowHeight="15" x14ac:dyDescent="0.25"/>
  <cols>
    <col min="1" max="1" width="34.42578125" customWidth="1"/>
    <col min="2" max="2" width="24.42578125" customWidth="1"/>
    <col min="3" max="3" width="28.28515625" customWidth="1"/>
  </cols>
  <sheetData>
    <row r="1" spans="1:3" ht="23.25" x14ac:dyDescent="0.25">
      <c r="A1" s="61" t="s">
        <v>0</v>
      </c>
      <c r="B1" s="61"/>
      <c r="C1" s="61"/>
    </row>
    <row r="2" spans="1:3" ht="23.25" x14ac:dyDescent="0.25">
      <c r="A2" s="62" t="s">
        <v>1</v>
      </c>
      <c r="B2" s="62"/>
      <c r="C2" s="62"/>
    </row>
    <row r="3" spans="1:3" ht="23.25" x14ac:dyDescent="0.25">
      <c r="A3" s="61" t="s">
        <v>2</v>
      </c>
      <c r="B3" s="61"/>
      <c r="C3" s="61"/>
    </row>
    <row r="4" spans="1:3" ht="23.25" x14ac:dyDescent="0.25">
      <c r="A4" s="63" t="s">
        <v>39</v>
      </c>
      <c r="B4" s="63"/>
      <c r="C4" s="63"/>
    </row>
    <row r="5" spans="1:3" x14ac:dyDescent="0.25">
      <c r="A5" s="64" t="s">
        <v>3</v>
      </c>
      <c r="B5" s="64" t="s">
        <v>40</v>
      </c>
      <c r="C5" s="64"/>
    </row>
    <row r="6" spans="1:3" x14ac:dyDescent="0.25">
      <c r="A6" s="64"/>
      <c r="B6" s="64"/>
      <c r="C6" s="64"/>
    </row>
    <row r="7" spans="1:3" ht="15.75" x14ac:dyDescent="0.25">
      <c r="A7" s="64"/>
      <c r="B7" s="1" t="s">
        <v>4</v>
      </c>
      <c r="C7" s="1" t="s">
        <v>5</v>
      </c>
    </row>
    <row r="8" spans="1:3" ht="30.75" customHeight="1" x14ac:dyDescent="0.25">
      <c r="A8" s="2" t="s">
        <v>6</v>
      </c>
      <c r="B8" s="42">
        <v>5933.5</v>
      </c>
      <c r="C8" s="42"/>
    </row>
    <row r="9" spans="1:3" ht="25.5" customHeight="1" x14ac:dyDescent="0.25">
      <c r="A9" s="2" t="s">
        <v>55</v>
      </c>
      <c r="B9" s="3">
        <v>340006</v>
      </c>
      <c r="C9" s="3">
        <v>365471</v>
      </c>
    </row>
    <row r="10" spans="1:3" ht="15.75" x14ac:dyDescent="0.25">
      <c r="A10" s="2" t="s">
        <v>56</v>
      </c>
      <c r="B10" s="3">
        <v>319415</v>
      </c>
      <c r="C10" s="3">
        <v>346475</v>
      </c>
    </row>
    <row r="11" spans="1:3" ht="15.75" x14ac:dyDescent="0.25">
      <c r="A11" s="2" t="s">
        <v>61</v>
      </c>
      <c r="B11" s="3">
        <v>1064474</v>
      </c>
      <c r="C11" s="3">
        <v>1083193</v>
      </c>
    </row>
    <row r="12" spans="1:3" ht="15.75" x14ac:dyDescent="0.25">
      <c r="A12" s="2" t="s">
        <v>7</v>
      </c>
      <c r="B12" s="14">
        <v>196505</v>
      </c>
      <c r="C12" s="15">
        <v>203758</v>
      </c>
    </row>
    <row r="13" spans="1:3" ht="42.75" customHeight="1" x14ac:dyDescent="0.25">
      <c r="A13" s="2" t="s">
        <v>8</v>
      </c>
      <c r="B13" s="14">
        <f>15.26*B8*12</f>
        <v>1086542.52</v>
      </c>
      <c r="C13" s="14">
        <v>1193999</v>
      </c>
    </row>
    <row r="14" spans="1:3" ht="30.75" customHeight="1" x14ac:dyDescent="0.25">
      <c r="A14" s="5" t="s">
        <v>9</v>
      </c>
      <c r="B14" s="23">
        <f>5.99*B8*12</f>
        <v>426499.98</v>
      </c>
      <c r="C14" s="23">
        <f>B14*C13/B13</f>
        <v>468679.81716906943</v>
      </c>
    </row>
    <row r="15" spans="1:3" ht="30" customHeight="1" x14ac:dyDescent="0.25">
      <c r="A15" s="7" t="s">
        <v>23</v>
      </c>
      <c r="B15" s="23">
        <f>1.31*B8*12</f>
        <v>93274.62</v>
      </c>
      <c r="C15" s="23">
        <f>B15*C13/B13</f>
        <v>102499.25884665792</v>
      </c>
    </row>
    <row r="16" spans="1:3" ht="40.5" customHeight="1" x14ac:dyDescent="0.25">
      <c r="A16" s="8" t="s">
        <v>24</v>
      </c>
      <c r="B16" s="23">
        <f>0.12*B8*12</f>
        <v>8544.24</v>
      </c>
      <c r="C16" s="23">
        <f>B16*C13/B13</f>
        <v>9389.2450851900394</v>
      </c>
    </row>
    <row r="17" spans="1:3" ht="63" customHeight="1" x14ac:dyDescent="0.25">
      <c r="A17" s="8" t="s">
        <v>17</v>
      </c>
      <c r="B17" s="23">
        <f>0.33*B8*12</f>
        <v>23496.66</v>
      </c>
      <c r="C17" s="23">
        <f>B17*C13/B13</f>
        <v>25820.423984272609</v>
      </c>
    </row>
    <row r="18" spans="1:3" ht="129" customHeight="1" x14ac:dyDescent="0.25">
      <c r="A18" s="8" t="s">
        <v>18</v>
      </c>
      <c r="B18" s="23">
        <f>0.95*B8*12</f>
        <v>67641.899999999994</v>
      </c>
      <c r="C18" s="23">
        <f>B18*C13/B13</f>
        <v>74331.523591087796</v>
      </c>
    </row>
    <row r="19" spans="1:3" ht="68.25" customHeight="1" x14ac:dyDescent="0.25">
      <c r="A19" s="8" t="s">
        <v>19</v>
      </c>
      <c r="B19" s="23">
        <f>1.77*B8*12</f>
        <v>126027.54000000001</v>
      </c>
      <c r="C19" s="23">
        <f>B19*C13/B13</f>
        <v>138491.3650065531</v>
      </c>
    </row>
    <row r="20" spans="1:3" ht="54" customHeight="1" x14ac:dyDescent="0.25">
      <c r="A20" s="8" t="s">
        <v>20</v>
      </c>
      <c r="B20" s="23">
        <f>1.24*B8*12</f>
        <v>88290.48</v>
      </c>
      <c r="C20" s="23">
        <f>B20*C13/B13</f>
        <v>97022.199213630389</v>
      </c>
    </row>
    <row r="21" spans="1:3" ht="66.75" customHeight="1" x14ac:dyDescent="0.25">
      <c r="A21" s="8" t="s">
        <v>21</v>
      </c>
      <c r="B21" s="23">
        <f>1.58*B8*12</f>
        <v>112499.16</v>
      </c>
      <c r="C21" s="23">
        <f>B21*C13/B13</f>
        <v>123625.06028833553</v>
      </c>
    </row>
    <row r="22" spans="1:3" ht="54" customHeight="1" x14ac:dyDescent="0.25">
      <c r="A22" s="8" t="s">
        <v>25</v>
      </c>
      <c r="B22" s="23">
        <f>1.35*B8*12</f>
        <v>96122.700000000012</v>
      </c>
      <c r="C22" s="23">
        <f>B22*C13/B13</f>
        <v>105629.00720838796</v>
      </c>
    </row>
    <row r="23" spans="1:3" ht="28.5" customHeight="1" x14ac:dyDescent="0.25">
      <c r="A23" s="8" t="s">
        <v>10</v>
      </c>
      <c r="B23" s="23">
        <f>0.41*B8*12</f>
        <v>29192.819999999996</v>
      </c>
      <c r="C23" s="23">
        <f>B23*C13/B13</f>
        <v>32079.920707732628</v>
      </c>
    </row>
    <row r="24" spans="1:3" x14ac:dyDescent="0.25">
      <c r="A24" s="167" t="s">
        <v>11</v>
      </c>
      <c r="B24" s="168">
        <f>0.21*B8*12</f>
        <v>14952.419999999998</v>
      </c>
      <c r="C24" s="168">
        <f>B24*C13/B13</f>
        <v>16431.178899082566</v>
      </c>
    </row>
    <row r="25" spans="1:3" x14ac:dyDescent="0.25">
      <c r="A25" s="167"/>
      <c r="B25" s="168"/>
      <c r="C25" s="168"/>
    </row>
    <row r="26" spans="1:3" ht="20.25" x14ac:dyDescent="0.25">
      <c r="A26" s="100" t="s">
        <v>88</v>
      </c>
      <c r="B26" s="101"/>
      <c r="C26" s="102"/>
    </row>
    <row r="27" spans="1:3" ht="31.5" x14ac:dyDescent="0.25">
      <c r="A27" s="10" t="s">
        <v>36</v>
      </c>
      <c r="B27" s="94">
        <v>152632</v>
      </c>
      <c r="C27" s="95"/>
    </row>
    <row r="28" spans="1:3" ht="15.75" x14ac:dyDescent="0.25">
      <c r="A28" s="10" t="s">
        <v>42</v>
      </c>
      <c r="B28" s="94">
        <v>97512</v>
      </c>
      <c r="C28" s="95"/>
    </row>
    <row r="29" spans="1:3" ht="31.5" x14ac:dyDescent="0.25">
      <c r="A29" s="10" t="s">
        <v>43</v>
      </c>
      <c r="B29" s="94">
        <v>7500</v>
      </c>
      <c r="C29" s="95"/>
    </row>
    <row r="30" spans="1:3" ht="31.5" x14ac:dyDescent="0.25">
      <c r="A30" s="10" t="s">
        <v>58</v>
      </c>
      <c r="B30" s="150">
        <v>92816.639999999999</v>
      </c>
      <c r="C30" s="151"/>
    </row>
    <row r="31" spans="1:3" ht="31.5" x14ac:dyDescent="0.25">
      <c r="A31" s="10" t="s">
        <v>45</v>
      </c>
      <c r="B31" s="94">
        <v>2532</v>
      </c>
      <c r="C31" s="95"/>
    </row>
    <row r="32" spans="1:3" ht="47.25" x14ac:dyDescent="0.25">
      <c r="A32" s="10" t="s">
        <v>76</v>
      </c>
      <c r="B32" s="118">
        <v>82536</v>
      </c>
      <c r="C32" s="131"/>
    </row>
    <row r="33" spans="1:3" ht="47.25" x14ac:dyDescent="0.25">
      <c r="A33" s="10" t="s">
        <v>64</v>
      </c>
      <c r="B33" s="113">
        <v>87500</v>
      </c>
      <c r="C33" s="114"/>
    </row>
    <row r="34" spans="1:3" ht="31.5" x14ac:dyDescent="0.25">
      <c r="A34" s="10" t="s">
        <v>65</v>
      </c>
      <c r="B34" s="113">
        <v>68500</v>
      </c>
      <c r="C34" s="114"/>
    </row>
    <row r="35" spans="1:3" ht="15.75" x14ac:dyDescent="0.25">
      <c r="A35" s="10" t="s">
        <v>77</v>
      </c>
      <c r="B35" s="113">
        <v>426499.98</v>
      </c>
      <c r="C35" s="114"/>
    </row>
    <row r="36" spans="1:3" ht="18.75" x14ac:dyDescent="0.3">
      <c r="A36" s="25" t="s">
        <v>85</v>
      </c>
      <c r="B36" s="165">
        <v>1018028.62</v>
      </c>
      <c r="C36" s="166"/>
    </row>
    <row r="37" spans="1:3" ht="21" x14ac:dyDescent="0.35">
      <c r="A37" s="50" t="s">
        <v>41</v>
      </c>
      <c r="B37" s="51"/>
      <c r="C37" s="52"/>
    </row>
    <row r="38" spans="1:3" ht="31.5" x14ac:dyDescent="0.25">
      <c r="A38" s="24" t="s">
        <v>92</v>
      </c>
      <c r="B38" s="94">
        <v>911</v>
      </c>
      <c r="C38" s="95"/>
    </row>
    <row r="39" spans="1:3" ht="47.25" x14ac:dyDescent="0.25">
      <c r="A39" s="24" t="s">
        <v>90</v>
      </c>
      <c r="B39" s="94">
        <v>12000</v>
      </c>
      <c r="C39" s="95"/>
    </row>
    <row r="40" spans="1:3" ht="15.75" x14ac:dyDescent="0.25">
      <c r="A40" s="24" t="s">
        <v>84</v>
      </c>
      <c r="B40" s="94">
        <v>2218.6</v>
      </c>
      <c r="C40" s="95"/>
    </row>
    <row r="41" spans="1:3" ht="15.75" x14ac:dyDescent="0.25">
      <c r="A41" s="24" t="s">
        <v>83</v>
      </c>
      <c r="B41" s="94">
        <v>1000</v>
      </c>
      <c r="C41" s="95"/>
    </row>
    <row r="42" spans="1:3" ht="47.25" x14ac:dyDescent="0.25">
      <c r="A42" s="24" t="s">
        <v>117</v>
      </c>
      <c r="B42" s="113">
        <v>748</v>
      </c>
      <c r="C42" s="155"/>
    </row>
    <row r="43" spans="1:3" ht="29.25" x14ac:dyDescent="0.25">
      <c r="A43" s="169" t="s">
        <v>118</v>
      </c>
      <c r="B43" s="113">
        <v>1685</v>
      </c>
      <c r="C43" s="144"/>
    </row>
    <row r="44" spans="1:3" ht="15.75" x14ac:dyDescent="0.25">
      <c r="A44" s="24" t="s">
        <v>119</v>
      </c>
      <c r="B44" s="113">
        <v>7500</v>
      </c>
      <c r="C44" s="144"/>
    </row>
    <row r="45" spans="1:3" ht="31.5" x14ac:dyDescent="0.25">
      <c r="A45" s="24" t="s">
        <v>120</v>
      </c>
      <c r="B45" s="113">
        <v>16000</v>
      </c>
      <c r="C45" s="144"/>
    </row>
    <row r="46" spans="1:3" ht="15.75" x14ac:dyDescent="0.25">
      <c r="A46" s="24" t="s">
        <v>121</v>
      </c>
      <c r="B46" s="113">
        <v>10000</v>
      </c>
      <c r="C46" s="155"/>
    </row>
    <row r="47" spans="1:3" ht="31.5" x14ac:dyDescent="0.25">
      <c r="A47" s="24" t="s">
        <v>122</v>
      </c>
      <c r="B47" s="113">
        <v>612</v>
      </c>
      <c r="C47" s="155"/>
    </row>
    <row r="48" spans="1:3" ht="31.5" x14ac:dyDescent="0.25">
      <c r="A48" s="10" t="s">
        <v>123</v>
      </c>
      <c r="B48" s="113">
        <v>1020</v>
      </c>
      <c r="C48" s="155"/>
    </row>
    <row r="49" spans="1:3" ht="31.5" x14ac:dyDescent="0.25">
      <c r="A49" s="10" t="s">
        <v>124</v>
      </c>
      <c r="B49" s="113">
        <v>54000</v>
      </c>
      <c r="C49" s="155"/>
    </row>
    <row r="50" spans="1:3" ht="15.75" x14ac:dyDescent="0.25">
      <c r="A50" s="20" t="s">
        <v>53</v>
      </c>
      <c r="B50" s="113">
        <f>B38+B39+B40+B41+B42+B43+B44+B45+B46+B47+B48+B49</f>
        <v>107694.6</v>
      </c>
      <c r="C50" s="155"/>
    </row>
    <row r="51" spans="1:3" ht="31.5" x14ac:dyDescent="0.3">
      <c r="A51" s="32" t="s">
        <v>38</v>
      </c>
      <c r="B51" s="162">
        <v>2976001.99</v>
      </c>
      <c r="C51" s="164"/>
    </row>
    <row r="52" spans="1:3" ht="18.75" x14ac:dyDescent="0.3">
      <c r="A52" s="11" t="s">
        <v>13</v>
      </c>
      <c r="B52" s="162">
        <v>3218022.46</v>
      </c>
      <c r="C52" s="163"/>
    </row>
    <row r="53" spans="1:3" ht="75" x14ac:dyDescent="0.3">
      <c r="A53" s="33" t="s">
        <v>75</v>
      </c>
      <c r="B53" s="162">
        <v>499500.38</v>
      </c>
      <c r="C53" s="163"/>
    </row>
  </sheetData>
  <mergeCells count="38">
    <mergeCell ref="B27:C27"/>
    <mergeCell ref="A1:C1"/>
    <mergeCell ref="A2:C2"/>
    <mergeCell ref="A3:C3"/>
    <mergeCell ref="A4:C4"/>
    <mergeCell ref="A5:A7"/>
    <mergeCell ref="B5:C6"/>
    <mergeCell ref="B8:C8"/>
    <mergeCell ref="A24:A25"/>
    <mergeCell ref="B24:B25"/>
    <mergeCell ref="C24:C25"/>
    <mergeCell ref="A26:C26"/>
    <mergeCell ref="B28:C28"/>
    <mergeCell ref="B29:C29"/>
    <mergeCell ref="B30:C30"/>
    <mergeCell ref="B31:C31"/>
    <mergeCell ref="B32:C32"/>
    <mergeCell ref="B50:C50"/>
    <mergeCell ref="B34:C34"/>
    <mergeCell ref="B35:C35"/>
    <mergeCell ref="B36:C36"/>
    <mergeCell ref="B33:C33"/>
    <mergeCell ref="B53:C53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1:C51"/>
    <mergeCell ref="B52:C52"/>
    <mergeCell ref="B46:C46"/>
    <mergeCell ref="B47:C47"/>
    <mergeCell ref="B48:C48"/>
    <mergeCell ref="B49:C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Молодежный дом1</vt:lpstr>
      <vt:lpstr>Молодежный дом 2</vt:lpstr>
      <vt:lpstr>молодежный 2а</vt:lpstr>
      <vt:lpstr>молодежный 3</vt:lpstr>
      <vt:lpstr>молодежный дом 4</vt:lpstr>
      <vt:lpstr>молодежный дом 5</vt:lpstr>
      <vt:lpstr>Молодежный дом6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2022-04-22T05:02:49Z</dcterms:modified>
</cp:coreProperties>
</file>